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dd54fdcc2a60a7/Documents/Stats/Matrices/"/>
    </mc:Choice>
  </mc:AlternateContent>
  <xr:revisionPtr revIDLastSave="161" documentId="8_{14E6D6EF-88AC-42B7-AA22-719AF0A3EEDB}" xr6:coauthVersionLast="47" xr6:coauthVersionMax="47" xr10:uidLastSave="{24F1DD24-B517-4716-A350-15F513CF1E46}"/>
  <bookViews>
    <workbookView xWindow="-28920" yWindow="-120" windowWidth="29040" windowHeight="15720" firstSheet="3" activeTab="13" xr2:uid="{0D897852-A557-4C1E-808B-B5FA9F924B9C}"/>
  </bookViews>
  <sheets>
    <sheet name="Matrix ops" sheetId="3" r:id="rId1"/>
    <sheet name="Norms" sheetId="2" r:id="rId2"/>
    <sheet name="Centr-Norml-Stdz" sheetId="1" r:id="rId3"/>
    <sheet name="Covar" sheetId="4" r:id="rId4"/>
    <sheet name="Covar 1" sheetId="8" r:id="rId5"/>
    <sheet name="Covar cent+scaled" sheetId="12" r:id="rId6"/>
    <sheet name="Cholesky" sheetId="5" r:id="rId7"/>
    <sheet name="Eigen exmpl" sheetId="9" r:id="rId8"/>
    <sheet name="EVD" sheetId="7" r:id="rId9"/>
    <sheet name="SD" sheetId="10" r:id="rId10"/>
    <sheet name="SVD raw" sheetId="15" r:id="rId11"/>
    <sheet name="SVD cov" sheetId="13" r:id="rId12"/>
    <sheet name="EVD &amp; SVD" sheetId="6" r:id="rId13"/>
    <sheet name="PCA Score" sheetId="16" r:id="rId14"/>
  </sheets>
  <externalReferences>
    <externalReference r:id="rId1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6" l="1"/>
  <c r="D2" i="16"/>
  <c r="E2" i="16"/>
  <c r="C3" i="16"/>
  <c r="D3" i="16"/>
  <c r="E3" i="16"/>
  <c r="C4" i="16"/>
  <c r="D4" i="16"/>
  <c r="E4" i="16"/>
  <c r="C5" i="16"/>
  <c r="D5" i="16"/>
  <c r="E5" i="16"/>
  <c r="C6" i="16"/>
  <c r="D6" i="16"/>
  <c r="E6" i="16"/>
  <c r="C7" i="16"/>
  <c r="D7" i="16"/>
  <c r="E7" i="16"/>
  <c r="B2" i="16"/>
  <c r="B3" i="16"/>
  <c r="B4" i="16"/>
  <c r="B5" i="16"/>
  <c r="B6" i="16"/>
  <c r="B7" i="16"/>
  <c r="B1" i="16"/>
  <c r="E3" i="2"/>
  <c r="U2" i="12" a="1"/>
  <c r="U2" i="12" s="1"/>
  <c r="X12" i="6" a="1"/>
  <c r="X12" i="6" s="1"/>
  <c r="AB8" i="6"/>
  <c r="T6" i="6" s="1"/>
  <c r="AA8" i="6"/>
  <c r="S6" i="6" s="1"/>
  <c r="Z8" i="6"/>
  <c r="C6" i="6" s="1"/>
  <c r="Y8" i="6"/>
  <c r="Q7" i="6" s="1"/>
  <c r="B2" i="10"/>
  <c r="C2" i="10"/>
  <c r="D2" i="10"/>
  <c r="B3" i="10"/>
  <c r="C3" i="10"/>
  <c r="D3" i="10"/>
  <c r="B4" i="10"/>
  <c r="C4" i="10"/>
  <c r="D4" i="10"/>
  <c r="B5" i="10"/>
  <c r="C5" i="10"/>
  <c r="D5" i="10"/>
  <c r="A3" i="10"/>
  <c r="A4" i="10"/>
  <c r="A5" i="10"/>
  <c r="A2" i="10"/>
  <c r="C16" i="7"/>
  <c r="B11" i="7"/>
  <c r="P16" i="12" a="1"/>
  <c r="P16" i="12" s="1"/>
  <c r="E8" i="7"/>
  <c r="E13" i="7" s="1"/>
  <c r="D8" i="7"/>
  <c r="D16" i="7" s="1"/>
  <c r="C8" i="7"/>
  <c r="C11" i="7" s="1"/>
  <c r="B8" i="7"/>
  <c r="B13" i="7" s="1"/>
  <c r="AB47" i="3" a="1"/>
  <c r="AB47" i="3" s="1"/>
  <c r="Z49" i="3"/>
  <c r="Z48" i="3"/>
  <c r="Z47" i="3"/>
  <c r="AB43" i="3" a="1"/>
  <c r="AB43" i="3" s="1"/>
  <c r="Z2" i="3" a="1"/>
  <c r="Z2" i="3" s="1"/>
  <c r="B17" i="1"/>
  <c r="C17" i="1"/>
  <c r="D17" i="1"/>
  <c r="B18" i="1"/>
  <c r="C18" i="1"/>
  <c r="D18" i="1"/>
  <c r="C16" i="1"/>
  <c r="D16" i="1"/>
  <c r="B16" i="1"/>
  <c r="B10" i="1"/>
  <c r="C10" i="1"/>
  <c r="D10" i="1"/>
  <c r="B11" i="1"/>
  <c r="C11" i="1"/>
  <c r="D11" i="1"/>
  <c r="C9" i="1"/>
  <c r="D9" i="1"/>
  <c r="B9" i="1"/>
  <c r="E2" i="1"/>
  <c r="E3" i="1"/>
  <c r="E4" i="1"/>
  <c r="B5" i="1"/>
  <c r="C5" i="1"/>
  <c r="D5" i="1"/>
  <c r="C29" i="12"/>
  <c r="D29" i="12"/>
  <c r="E29" i="12"/>
  <c r="B29" i="12"/>
  <c r="B23" i="12"/>
  <c r="C23" i="12"/>
  <c r="D23" i="12"/>
  <c r="E23" i="12"/>
  <c r="B24" i="12"/>
  <c r="C24" i="12"/>
  <c r="D24" i="12"/>
  <c r="E24" i="12"/>
  <c r="B25" i="12"/>
  <c r="C25" i="12"/>
  <c r="D25" i="12"/>
  <c r="E25" i="12"/>
  <c r="B26" i="12"/>
  <c r="C26" i="12"/>
  <c r="D26" i="12"/>
  <c r="E26" i="12"/>
  <c r="B27" i="12"/>
  <c r="C27" i="12"/>
  <c r="D27" i="12"/>
  <c r="E27" i="12"/>
  <c r="B28" i="12"/>
  <c r="C28" i="12"/>
  <c r="D28" i="12"/>
  <c r="E28" i="12"/>
  <c r="C22" i="12"/>
  <c r="D22" i="12"/>
  <c r="E22" i="12"/>
  <c r="B22" i="12"/>
  <c r="W12" i="1"/>
  <c r="X12" i="1"/>
  <c r="W13" i="1"/>
  <c r="X13" i="1"/>
  <c r="W14" i="1"/>
  <c r="X14" i="1"/>
  <c r="V13" i="1"/>
  <c r="V14" i="1"/>
  <c r="V12" i="1"/>
  <c r="W6" i="1"/>
  <c r="X6" i="1"/>
  <c r="W7" i="1"/>
  <c r="X7" i="1"/>
  <c r="W8" i="1"/>
  <c r="X8" i="1"/>
  <c r="V7" i="1"/>
  <c r="V8" i="1"/>
  <c r="V6" i="1"/>
  <c r="P23" i="4"/>
  <c r="E8" i="15"/>
  <c r="D8" i="15"/>
  <c r="C8" i="15"/>
  <c r="B8" i="15"/>
  <c r="W1" i="1"/>
  <c r="W3" i="1" s="1"/>
  <c r="P16" i="4" a="1"/>
  <c r="P16" i="4" s="1"/>
  <c r="P9" i="4" a="1"/>
  <c r="P9" i="4" s="1"/>
  <c r="G6" i="4"/>
  <c r="P9" i="12" a="1"/>
  <c r="P9" i="12" s="1"/>
  <c r="P2" i="12" a="1"/>
  <c r="P2" i="12" s="1"/>
  <c r="C13" i="12"/>
  <c r="D13" i="12"/>
  <c r="E13" i="12"/>
  <c r="C14" i="12"/>
  <c r="D14" i="12"/>
  <c r="E14" i="12"/>
  <c r="C15" i="12"/>
  <c r="D15" i="12"/>
  <c r="E15" i="12"/>
  <c r="C16" i="12"/>
  <c r="D16" i="12"/>
  <c r="E16" i="12"/>
  <c r="C17" i="12"/>
  <c r="D17" i="12"/>
  <c r="E17" i="12"/>
  <c r="D12" i="12"/>
  <c r="E12" i="12"/>
  <c r="C12" i="12"/>
  <c r="B13" i="12"/>
  <c r="B14" i="12"/>
  <c r="B15" i="12"/>
  <c r="B16" i="12"/>
  <c r="B17" i="12"/>
  <c r="B12" i="12"/>
  <c r="G6" i="12"/>
  <c r="E8" i="13"/>
  <c r="D8" i="13"/>
  <c r="D16" i="13" s="1"/>
  <c r="C8" i="13"/>
  <c r="C16" i="13" s="1"/>
  <c r="B8" i="13"/>
  <c r="L15" i="16"/>
  <c r="L11" i="16" a="1"/>
  <c r="G34" i="16"/>
  <c r="B34" i="16"/>
  <c r="G17" i="16"/>
  <c r="G11" i="16" a="1"/>
  <c r="G8" i="16"/>
  <c r="G2" i="16" a="1"/>
  <c r="B25" i="16"/>
  <c r="B15" i="16"/>
  <c r="N39" i="6"/>
  <c r="G39" i="6"/>
  <c r="L11" i="15" a="1"/>
  <c r="L13" i="13"/>
  <c r="Y9" i="6"/>
  <c r="V9" i="1"/>
  <c r="H6" i="4"/>
  <c r="F39" i="6"/>
  <c r="Q9" i="6"/>
  <c r="T8" i="13"/>
  <c r="L17" i="15"/>
  <c r="A6" i="10"/>
  <c r="B16" i="6"/>
  <c r="Z50" i="3"/>
  <c r="X3" i="1"/>
  <c r="J49" i="6"/>
  <c r="X39" i="6"/>
  <c r="Y3" i="13"/>
  <c r="J16" i="6"/>
  <c r="AD42" i="6"/>
  <c r="AA15" i="1"/>
  <c r="B49" i="6"/>
  <c r="B9" i="13"/>
  <c r="Q16" i="6"/>
  <c r="U6" i="12"/>
  <c r="Q5" i="13"/>
  <c r="U6" i="7"/>
  <c r="X2" i="1"/>
  <c r="A6" i="5"/>
  <c r="Y2" i="13"/>
  <c r="Y5" i="13"/>
  <c r="X1" i="1"/>
  <c r="F8" i="6"/>
  <c r="J32" i="6"/>
  <c r="B19" i="13"/>
  <c r="V15" i="1"/>
  <c r="B20" i="13"/>
  <c r="R6" i="7"/>
  <c r="T16" i="13" a="1"/>
  <c r="J9" i="6"/>
  <c r="AD23" i="6"/>
  <c r="G15" i="15"/>
  <c r="Q32" i="6"/>
  <c r="X23" i="6"/>
  <c r="B32" i="6"/>
  <c r="U39" i="6"/>
  <c r="G11" i="15" a="1"/>
  <c r="X47" i="6"/>
  <c r="B30" i="12"/>
  <c r="F22" i="12"/>
  <c r="Q2" i="13"/>
  <c r="B9" i="6"/>
  <c r="L20" i="13"/>
  <c r="G6" i="5"/>
  <c r="L6" i="13"/>
  <c r="Y10" i="13"/>
  <c r="AD16" i="6"/>
  <c r="B25" i="6"/>
  <c r="G8" i="15"/>
  <c r="X16" i="6"/>
  <c r="T18" i="13"/>
  <c r="Q4" i="13"/>
  <c r="J25" i="6"/>
  <c r="B19" i="15"/>
  <c r="S6" i="7"/>
  <c r="X32" i="6"/>
  <c r="G6" i="13"/>
  <c r="T6" i="7"/>
  <c r="Y4" i="13"/>
  <c r="Q49" i="6"/>
  <c r="AC3" i="1"/>
  <c r="Q3" i="13"/>
  <c r="Q25" i="6"/>
  <c r="G16" i="13"/>
  <c r="A24" i="7"/>
  <c r="B9" i="15"/>
  <c r="G2" i="15" a="1"/>
  <c r="L11" i="16" l="1"/>
  <c r="B11" i="16" a="1"/>
  <c r="G11" i="16"/>
  <c r="G2" i="16"/>
  <c r="G28" i="16" s="1" a="1"/>
  <c r="G28" i="16" s="1"/>
  <c r="B2" i="6"/>
  <c r="D2" i="6"/>
  <c r="D7" i="6"/>
  <c r="J7" i="6"/>
  <c r="J3" i="6"/>
  <c r="D4" i="6"/>
  <c r="R7" i="6"/>
  <c r="K2" i="6"/>
  <c r="J5" i="6"/>
  <c r="E6" i="6"/>
  <c r="M7" i="6"/>
  <c r="M3" i="6"/>
  <c r="E2" i="6"/>
  <c r="R3" i="6"/>
  <c r="L7" i="6"/>
  <c r="L5" i="6"/>
  <c r="L3" i="6"/>
  <c r="J6" i="6"/>
  <c r="J4" i="6"/>
  <c r="M5" i="6"/>
  <c r="D3" i="6"/>
  <c r="R5" i="6"/>
  <c r="K7" i="6"/>
  <c r="K5" i="6"/>
  <c r="K3" i="6"/>
  <c r="D5" i="6"/>
  <c r="M2" i="6"/>
  <c r="L6" i="6"/>
  <c r="L4" i="6"/>
  <c r="E4" i="6"/>
  <c r="J2" i="6"/>
  <c r="M6" i="6"/>
  <c r="M4" i="6"/>
  <c r="D6" i="6"/>
  <c r="L2" i="6"/>
  <c r="K6" i="6"/>
  <c r="K4" i="6"/>
  <c r="B3" i="6"/>
  <c r="B5" i="6"/>
  <c r="B7" i="6"/>
  <c r="S3" i="6"/>
  <c r="S5" i="6"/>
  <c r="S7" i="6"/>
  <c r="C3" i="6"/>
  <c r="C5" i="6"/>
  <c r="C7" i="6"/>
  <c r="T3" i="6"/>
  <c r="T5" i="6"/>
  <c r="T7" i="6"/>
  <c r="E3" i="6"/>
  <c r="E5" i="6"/>
  <c r="E7" i="6"/>
  <c r="R2" i="6"/>
  <c r="R4" i="6"/>
  <c r="R6" i="6"/>
  <c r="Q6" i="6"/>
  <c r="B4" i="6"/>
  <c r="B6" i="6"/>
  <c r="S2" i="6"/>
  <c r="S4" i="6"/>
  <c r="Q2" i="6"/>
  <c r="Q4" i="6"/>
  <c r="C2" i="6"/>
  <c r="C4" i="6"/>
  <c r="T2" i="6"/>
  <c r="T4" i="6"/>
  <c r="Q3" i="6"/>
  <c r="Q5" i="6"/>
  <c r="E15" i="7"/>
  <c r="D13" i="7"/>
  <c r="C13" i="7"/>
  <c r="B15" i="7"/>
  <c r="D15" i="7"/>
  <c r="E12" i="7"/>
  <c r="B14" i="7"/>
  <c r="C15" i="7"/>
  <c r="D12" i="7"/>
  <c r="B16" i="7"/>
  <c r="C12" i="7"/>
  <c r="E14" i="7"/>
  <c r="B12" i="7"/>
  <c r="A20" i="7" s="1" a="1"/>
  <c r="A20" i="7" s="1"/>
  <c r="D14" i="7"/>
  <c r="E11" i="7"/>
  <c r="E16" i="7"/>
  <c r="C14" i="7"/>
  <c r="D11" i="7"/>
  <c r="T16" i="13"/>
  <c r="B12" i="1"/>
  <c r="G11" i="15"/>
  <c r="G2" i="15"/>
  <c r="L11" i="15"/>
  <c r="W2" i="1"/>
  <c r="E16" i="13"/>
  <c r="C17" i="13"/>
  <c r="E12" i="13"/>
  <c r="C13" i="13"/>
  <c r="E14" i="13"/>
  <c r="C15" i="13"/>
  <c r="B13" i="13"/>
  <c r="B15" i="13"/>
  <c r="B17" i="13"/>
  <c r="D13" i="13"/>
  <c r="D15" i="13"/>
  <c r="D17" i="13"/>
  <c r="E13" i="13"/>
  <c r="E15" i="13"/>
  <c r="E17" i="13"/>
  <c r="C12" i="13"/>
  <c r="C14" i="13"/>
  <c r="B12" i="13"/>
  <c r="B14" i="13"/>
  <c r="B16" i="13"/>
  <c r="D12" i="13"/>
  <c r="D14" i="13"/>
  <c r="B35" i="6" a="1"/>
  <c r="T2" i="13" a="1"/>
  <c r="B19" i="6" a="1"/>
  <c r="Q19" i="6" a="1"/>
  <c r="B28" i="6" a="1"/>
  <c r="Q35" i="6" a="1"/>
  <c r="J28" i="6" a="1"/>
  <c r="Q28" i="6" a="1"/>
  <c r="J35" i="6" a="1"/>
  <c r="J19" i="6" a="1"/>
  <c r="B11" i="16" l="1"/>
  <c r="J28" i="6"/>
  <c r="Q12" i="6" a="1"/>
  <c r="Q12" i="6" s="1"/>
  <c r="J12" i="6" a="1"/>
  <c r="J12" i="6" s="1"/>
  <c r="B28" i="6"/>
  <c r="Q28" i="6"/>
  <c r="U37" i="6"/>
  <c r="U38" i="6"/>
  <c r="U36" i="6"/>
  <c r="Q35" i="6"/>
  <c r="U35" i="6" s="1"/>
  <c r="B19" i="6"/>
  <c r="J19" i="6"/>
  <c r="F38" i="6"/>
  <c r="G38" i="6" s="1"/>
  <c r="F37" i="6"/>
  <c r="G37" i="6" s="1"/>
  <c r="F36" i="6"/>
  <c r="G36" i="6" s="1"/>
  <c r="B35" i="6"/>
  <c r="F35" i="6" s="1"/>
  <c r="G35" i="6" s="1"/>
  <c r="Q19" i="6"/>
  <c r="N37" i="6"/>
  <c r="N36" i="6"/>
  <c r="N38" i="6"/>
  <c r="J35" i="6"/>
  <c r="N35" i="6" s="1"/>
  <c r="K8" i="6"/>
  <c r="D8" i="6"/>
  <c r="B12" i="6" a="1"/>
  <c r="L8" i="6"/>
  <c r="R8" i="6"/>
  <c r="E8" i="6"/>
  <c r="S8" i="6"/>
  <c r="J8" i="6"/>
  <c r="M8" i="6"/>
  <c r="T8" i="6"/>
  <c r="C8" i="6"/>
  <c r="B8" i="6"/>
  <c r="Q8" i="6"/>
  <c r="D17" i="7"/>
  <c r="C17" i="7"/>
  <c r="B17" i="7"/>
  <c r="E17" i="7"/>
  <c r="B13" i="15" a="1"/>
  <c r="B13" i="15" s="1"/>
  <c r="X3" i="13"/>
  <c r="X11" i="13" s="1"/>
  <c r="X5" i="13"/>
  <c r="X13" i="13" s="1"/>
  <c r="X4" i="13"/>
  <c r="X12" i="13" s="1"/>
  <c r="T2" i="13"/>
  <c r="X2" i="13" s="1"/>
  <c r="X10" i="13" s="1"/>
  <c r="G2" i="13" a="1"/>
  <c r="E18" i="13"/>
  <c r="D18" i="13"/>
  <c r="C18" i="13"/>
  <c r="B18" i="13"/>
  <c r="E8" i="12"/>
  <c r="D8" i="12"/>
  <c r="C8" i="12"/>
  <c r="B8" i="12"/>
  <c r="G5" i="12"/>
  <c r="G3" i="12"/>
  <c r="B12" i="4"/>
  <c r="C12" i="4"/>
  <c r="D12" i="4"/>
  <c r="E12" i="4"/>
  <c r="B13" i="4"/>
  <c r="C13" i="4"/>
  <c r="D13" i="4"/>
  <c r="E13" i="4"/>
  <c r="B14" i="4"/>
  <c r="C14" i="4"/>
  <c r="D14" i="4"/>
  <c r="E14" i="4"/>
  <c r="B15" i="4"/>
  <c r="C15" i="4"/>
  <c r="D15" i="4"/>
  <c r="E15" i="4"/>
  <c r="B16" i="4"/>
  <c r="C16" i="4"/>
  <c r="D16" i="4"/>
  <c r="E16" i="4"/>
  <c r="B17" i="4"/>
  <c r="C17" i="4"/>
  <c r="D17" i="4"/>
  <c r="E17" i="4"/>
  <c r="B18" i="16" a="1"/>
  <c r="P20" i="12"/>
  <c r="B9" i="12"/>
  <c r="F12" i="12"/>
  <c r="Q23" i="12"/>
  <c r="B19" i="12"/>
  <c r="P6" i="12"/>
  <c r="H6" i="12"/>
  <c r="K20" i="12"/>
  <c r="L9" i="12"/>
  <c r="P13" i="12"/>
  <c r="K13" i="12"/>
  <c r="U20" i="12"/>
  <c r="K27" i="12"/>
  <c r="B28" i="16" l="1" a="1"/>
  <c r="B28" i="16" s="1"/>
  <c r="B18" i="16"/>
  <c r="AD12" i="6" a="1"/>
  <c r="AD12" i="6" s="1"/>
  <c r="AD19" i="6" a="1"/>
  <c r="AD19" i="6" s="1"/>
  <c r="B43" i="6" a="1"/>
  <c r="B43" i="6" s="1"/>
  <c r="Q43" i="6" a="1"/>
  <c r="Q43" i="6" s="1"/>
  <c r="J43" i="6" a="1"/>
  <c r="J43" i="6" s="1"/>
  <c r="B12" i="6"/>
  <c r="G2" i="13"/>
  <c r="N6" i="12"/>
  <c r="K18" i="12"/>
  <c r="L4" i="12"/>
  <c r="B18" i="12"/>
  <c r="L2" i="13" a="1"/>
  <c r="AD35" i="6" a="1"/>
  <c r="X19" i="6" a="1"/>
  <c r="L9" i="13" a="1"/>
  <c r="X28" i="6" a="1"/>
  <c r="F10" i="10"/>
  <c r="K7" i="10"/>
  <c r="X35" i="6" a="1"/>
  <c r="L16" i="13" a="1"/>
  <c r="X35" i="6" l="1"/>
  <c r="X19" i="6"/>
  <c r="X28" i="6"/>
  <c r="AD35" i="6"/>
  <c r="L2" i="13"/>
  <c r="P2" i="13" s="1"/>
  <c r="P3" i="13"/>
  <c r="P5" i="13"/>
  <c r="P4" i="13"/>
  <c r="L9" i="13"/>
  <c r="L16" i="13"/>
  <c r="K23" i="12"/>
  <c r="K16" i="12"/>
  <c r="M26" i="12"/>
  <c r="L16" i="12"/>
  <c r="L17" i="12"/>
  <c r="K3" i="12"/>
  <c r="K9" i="12"/>
  <c r="K17" i="12"/>
  <c r="C18" i="12"/>
  <c r="L12" i="12" s="1"/>
  <c r="M19" i="12"/>
  <c r="N17" i="12"/>
  <c r="E18" i="12"/>
  <c r="N24" i="12"/>
  <c r="N19" i="12"/>
  <c r="L24" i="12"/>
  <c r="M5" i="12"/>
  <c r="L10" i="12"/>
  <c r="L26" i="12"/>
  <c r="N23" i="12"/>
  <c r="N26" i="12"/>
  <c r="K10" i="12"/>
  <c r="K12" i="12"/>
  <c r="K24" i="12"/>
  <c r="L19" i="12"/>
  <c r="N16" i="12"/>
  <c r="M17" i="12"/>
  <c r="L23" i="12"/>
  <c r="K19" i="12"/>
  <c r="N18" i="12"/>
  <c r="M25" i="12"/>
  <c r="M24" i="12"/>
  <c r="L18" i="12"/>
  <c r="D18" i="12"/>
  <c r="N25" i="12"/>
  <c r="M18" i="12"/>
  <c r="L25" i="12"/>
  <c r="M12" i="12"/>
  <c r="M11" i="12"/>
  <c r="K25" i="12"/>
  <c r="M23" i="12"/>
  <c r="L11" i="12"/>
  <c r="M16" i="12"/>
  <c r="K11" i="12"/>
  <c r="K26" i="12"/>
  <c r="N12" i="12"/>
  <c r="F2" i="9" a="1"/>
  <c r="F2" i="9" s="1"/>
  <c r="B16" i="8"/>
  <c r="B14" i="8"/>
  <c r="D13" i="8"/>
  <c r="B13" i="8"/>
  <c r="B12" i="8"/>
  <c r="E8" i="8"/>
  <c r="E13" i="8" s="1"/>
  <c r="D8" i="8"/>
  <c r="D17" i="8" s="1"/>
  <c r="C8" i="8"/>
  <c r="C17" i="8" s="1"/>
  <c r="B8" i="8"/>
  <c r="B15" i="8" s="1"/>
  <c r="P2" i="3" a="1"/>
  <c r="P2" i="3" s="1"/>
  <c r="L9" i="7"/>
  <c r="B9" i="8"/>
  <c r="R16" i="7"/>
  <c r="A32" i="7"/>
  <c r="G20" i="8"/>
  <c r="L16" i="7"/>
  <c r="H23" i="8"/>
  <c r="F12" i="8"/>
  <c r="U20" i="4"/>
  <c r="G13" i="8"/>
  <c r="F4" i="9"/>
  <c r="B31" i="7"/>
  <c r="G23" i="7"/>
  <c r="G4" i="7"/>
  <c r="P5" i="3"/>
  <c r="L20" i="8"/>
  <c r="B19" i="8"/>
  <c r="G16" i="7"/>
  <c r="L23" i="7"/>
  <c r="G6" i="8"/>
  <c r="X43" i="6" l="1" a="1"/>
  <c r="X43" i="6" s="1"/>
  <c r="G12" i="13" a="1"/>
  <c r="G12" i="13" s="1"/>
  <c r="C14" i="8"/>
  <c r="D14" i="8"/>
  <c r="C12" i="8"/>
  <c r="C18" i="8" s="1"/>
  <c r="D12" i="8"/>
  <c r="C16" i="8"/>
  <c r="D16" i="8"/>
  <c r="C13" i="8"/>
  <c r="A4" i="5"/>
  <c r="B2" i="5"/>
  <c r="D4" i="5"/>
  <c r="B4" i="5"/>
  <c r="C2" i="5"/>
  <c r="C3" i="5"/>
  <c r="C5" i="5"/>
  <c r="C4" i="5"/>
  <c r="D2" i="5"/>
  <c r="B5" i="5"/>
  <c r="B3" i="5"/>
  <c r="A3" i="5"/>
  <c r="A5" i="5"/>
  <c r="D3" i="5"/>
  <c r="D5" i="5"/>
  <c r="U16" i="12" a="1"/>
  <c r="U16" i="12" s="1"/>
  <c r="E15" i="8"/>
  <c r="E12" i="8"/>
  <c r="E16" i="8"/>
  <c r="E14" i="8"/>
  <c r="E17" i="8"/>
  <c r="B17" i="8"/>
  <c r="C15" i="8"/>
  <c r="D15" i="8"/>
  <c r="J23" i="4"/>
  <c r="G5" i="4"/>
  <c r="A20" i="5"/>
  <c r="K11" i="5"/>
  <c r="K13" i="5"/>
  <c r="K9" i="5"/>
  <c r="K14" i="5"/>
  <c r="K12" i="5"/>
  <c r="J27" i="4"/>
  <c r="G11" i="5"/>
  <c r="G12" i="5"/>
  <c r="G9" i="5"/>
  <c r="K10" i="5"/>
  <c r="J20" i="4"/>
  <c r="Q23" i="4"/>
  <c r="G10" i="5"/>
  <c r="D18" i="8" l="1"/>
  <c r="P23" i="12"/>
  <c r="A2" i="5"/>
  <c r="E18" i="8"/>
  <c r="G2" i="8" a="1"/>
  <c r="G2" i="8" s="1"/>
  <c r="G9" i="8" s="1" a="1"/>
  <c r="G9" i="8" s="1"/>
  <c r="G16" i="8" a="1"/>
  <c r="G16" i="8" s="1"/>
  <c r="B18" i="8"/>
  <c r="G23" i="8" l="1"/>
  <c r="L16" i="8" a="1"/>
  <c r="L16" i="8" s="1"/>
  <c r="N5" i="4"/>
  <c r="N4" i="4"/>
  <c r="M4" i="4"/>
  <c r="N3" i="4"/>
  <c r="M3" i="4"/>
  <c r="L3" i="4"/>
  <c r="E8" i="4"/>
  <c r="D8" i="4"/>
  <c r="C8" i="4"/>
  <c r="B8" i="4"/>
  <c r="G3" i="4"/>
  <c r="P20" i="4"/>
  <c r="B9" i="4"/>
  <c r="P6" i="4"/>
  <c r="B19" i="4"/>
  <c r="G2" i="7" a="1"/>
  <c r="J13" i="4"/>
  <c r="F12" i="4"/>
  <c r="K9" i="4"/>
  <c r="P13" i="4"/>
  <c r="G2" i="7" l="1"/>
  <c r="L16" i="4"/>
  <c r="K16" i="4"/>
  <c r="M16" i="4"/>
  <c r="K17" i="4"/>
  <c r="M17" i="4"/>
  <c r="L17" i="4"/>
  <c r="K19" i="4"/>
  <c r="M19" i="4"/>
  <c r="L19" i="4"/>
  <c r="K18" i="4"/>
  <c r="M18" i="4"/>
  <c r="L18" i="4"/>
  <c r="J9" i="4"/>
  <c r="J19" i="4"/>
  <c r="J18" i="4"/>
  <c r="J16" i="4"/>
  <c r="J17" i="4"/>
  <c r="M24" i="4"/>
  <c r="K24" i="4"/>
  <c r="L24" i="4"/>
  <c r="L25" i="4"/>
  <c r="M25" i="4"/>
  <c r="K25" i="4"/>
  <c r="M26" i="4"/>
  <c r="K26" i="4"/>
  <c r="L26" i="4"/>
  <c r="J25" i="4"/>
  <c r="L23" i="4"/>
  <c r="J26" i="4"/>
  <c r="J24" i="4"/>
  <c r="M23" i="4"/>
  <c r="K23" i="4"/>
  <c r="P2" i="4" a="1"/>
  <c r="P2" i="4" s="1"/>
  <c r="M12" i="4"/>
  <c r="K3" i="4"/>
  <c r="J12" i="4"/>
  <c r="J11" i="4"/>
  <c r="J10" i="4"/>
  <c r="B18" i="4"/>
  <c r="L4" i="4"/>
  <c r="K11" i="4"/>
  <c r="K10" i="4"/>
  <c r="C18" i="4"/>
  <c r="K12" i="4" s="1"/>
  <c r="N6" i="4"/>
  <c r="E18" i="4"/>
  <c r="L12" i="4"/>
  <c r="D18" i="4"/>
  <c r="L11" i="4"/>
  <c r="M5" i="4"/>
  <c r="U16" i="4" l="1" a="1"/>
  <c r="U16" i="4" s="1"/>
  <c r="A9" i="5"/>
  <c r="A12" i="5" s="1"/>
  <c r="L43" i="3" a="1"/>
  <c r="L43" i="3" s="1"/>
  <c r="T43" i="3" a="1"/>
  <c r="T43" i="3" s="1"/>
  <c r="O27" i="3" a="1"/>
  <c r="O27" i="3" s="1"/>
  <c r="K27" i="3" a="1"/>
  <c r="K27" i="3" s="1"/>
  <c r="P33" i="3" a="1"/>
  <c r="P33" i="3" s="1"/>
  <c r="AD7" i="3" a="1"/>
  <c r="AD7" i="3" s="1"/>
  <c r="Z7" i="3" a="1"/>
  <c r="Z7" i="3" s="1"/>
  <c r="AD2" i="3" a="1"/>
  <c r="AD2" i="3" s="1"/>
  <c r="H21" i="3" a="1"/>
  <c r="H21" i="3" s="1"/>
  <c r="L14" i="3" a="1"/>
  <c r="L14" i="3" s="1"/>
  <c r="H2" i="3" a="1"/>
  <c r="H2" i="3" s="1"/>
  <c r="N21" i="3" a="1"/>
  <c r="N21" i="3" s="1"/>
  <c r="H14" i="3" a="1"/>
  <c r="H14" i="3" s="1"/>
  <c r="L2" i="3" a="1"/>
  <c r="L2" i="3" s="1"/>
  <c r="S2" i="3" a="1"/>
  <c r="S2" i="3" s="1"/>
  <c r="V2" i="3" a="1"/>
  <c r="V2" i="3" s="1"/>
  <c r="H8" i="3" a="1"/>
  <c r="H8" i="3" s="1"/>
  <c r="L8" i="3" a="1"/>
  <c r="L8" i="3" s="1"/>
  <c r="S8" i="3" a="1"/>
  <c r="S8" i="3" s="1"/>
  <c r="V8" i="3" a="1"/>
  <c r="V8" i="3" s="1"/>
  <c r="K21" i="3" a="1"/>
  <c r="K21" i="3" s="1"/>
  <c r="S14" i="3" a="1"/>
  <c r="S14" i="3" s="1"/>
  <c r="U14" i="3" a="1"/>
  <c r="U14" i="3" s="1"/>
  <c r="X14" i="3" a="1"/>
  <c r="X14" i="3" s="1"/>
  <c r="Z14" i="3" a="1"/>
  <c r="Z14" i="3" s="1"/>
  <c r="B20" i="3" a="1"/>
  <c r="B20" i="3" s="1"/>
  <c r="H27" i="3" a="1"/>
  <c r="H27" i="3" s="1"/>
  <c r="S20" i="3" a="1"/>
  <c r="S20" i="3" s="1"/>
  <c r="U20" i="3" a="1"/>
  <c r="U20" i="3" s="1"/>
  <c r="X20" i="3" a="1"/>
  <c r="X20" i="3" s="1"/>
  <c r="Z20" i="3" a="1"/>
  <c r="Z20" i="3" s="1"/>
  <c r="B25" i="3" a="1"/>
  <c r="B25" i="3" s="1"/>
  <c r="H33" i="3" a="1"/>
  <c r="H33" i="3" s="1"/>
  <c r="J33" i="3" a="1"/>
  <c r="J33" i="3" s="1"/>
  <c r="L33" i="3" a="1"/>
  <c r="L33" i="3" s="1"/>
  <c r="S27" i="3"/>
  <c r="U27" i="3"/>
  <c r="W27" i="3"/>
  <c r="H43" i="3" a="1"/>
  <c r="H43" i="3" s="1"/>
  <c r="T39" i="3" a="1"/>
  <c r="T39" i="3" s="1"/>
  <c r="P43" i="3" a="1"/>
  <c r="P43" i="3" s="1"/>
  <c r="P39" i="3" a="1"/>
  <c r="P39" i="3" s="1"/>
  <c r="H5" i="3"/>
  <c r="H34" i="3"/>
  <c r="J34" i="3"/>
  <c r="L36" i="3"/>
  <c r="S15" i="3"/>
  <c r="H17" i="3"/>
  <c r="L46" i="3"/>
  <c r="U15" i="3"/>
  <c r="P40" i="3"/>
  <c r="K24" i="3"/>
  <c r="T46" i="3"/>
  <c r="H30" i="3"/>
  <c r="S10" i="3"/>
  <c r="T40" i="3"/>
  <c r="H11" i="3"/>
  <c r="U28" i="3"/>
  <c r="V5" i="3"/>
  <c r="P46" i="3"/>
  <c r="Z4" i="3"/>
  <c r="AD3" i="3"/>
  <c r="B27" i="3"/>
  <c r="K29" i="3"/>
  <c r="S28" i="3"/>
  <c r="X21" i="3"/>
  <c r="W28" i="3"/>
  <c r="H46" i="3"/>
  <c r="L5" i="3"/>
  <c r="L17" i="3"/>
  <c r="P35" i="3"/>
  <c r="U21" i="3"/>
  <c r="N24" i="3"/>
  <c r="Z21" i="3"/>
  <c r="AD10" i="3"/>
  <c r="V9" i="3"/>
  <c r="X17" i="3"/>
  <c r="Z15" i="3"/>
  <c r="Z8" i="3"/>
  <c r="S21" i="3"/>
  <c r="H22" i="3"/>
  <c r="O30" i="3"/>
  <c r="S4" i="3"/>
  <c r="L11" i="3"/>
  <c r="B22" i="3"/>
  <c r="A10" i="5" l="1"/>
  <c r="B10" i="5" s="1"/>
  <c r="B12" i="5" s="1"/>
  <c r="A11" i="5"/>
  <c r="AB1" i="1"/>
  <c r="O2" i="1"/>
  <c r="O8" i="1"/>
  <c r="H10" i="1"/>
  <c r="H2" i="1"/>
  <c r="H3" i="1"/>
  <c r="I3" i="1"/>
  <c r="J3" i="1"/>
  <c r="H4" i="1"/>
  <c r="I4" i="1"/>
  <c r="J4" i="1"/>
  <c r="I2" i="1"/>
  <c r="J2" i="1"/>
  <c r="E6" i="2"/>
  <c r="E5" i="2"/>
  <c r="E4" i="2"/>
  <c r="E2" i="2" a="1"/>
  <c r="E2" i="2" s="1"/>
  <c r="O15" i="1"/>
  <c r="P15" i="1"/>
  <c r="Q15" i="1"/>
  <c r="O16" i="1"/>
  <c r="P16" i="1"/>
  <c r="Q16" i="1"/>
  <c r="P14" i="1"/>
  <c r="Q14" i="1"/>
  <c r="O14" i="1"/>
  <c r="O9" i="1"/>
  <c r="P9" i="1"/>
  <c r="Q9" i="1"/>
  <c r="O10" i="1"/>
  <c r="P10" i="1"/>
  <c r="Q10" i="1"/>
  <c r="P8" i="1"/>
  <c r="Q8" i="1"/>
  <c r="P2" i="1"/>
  <c r="Q2" i="1"/>
  <c r="P3" i="1"/>
  <c r="Q3" i="1"/>
  <c r="P4" i="1"/>
  <c r="Q4" i="1"/>
  <c r="O3" i="1"/>
  <c r="O4" i="1"/>
  <c r="I10" i="1"/>
  <c r="J10" i="1"/>
  <c r="H18" i="1"/>
  <c r="H19" i="1"/>
  <c r="J17" i="1"/>
  <c r="B19" i="1"/>
  <c r="O5" i="1"/>
  <c r="F3" i="2"/>
  <c r="E9" i="1"/>
  <c r="K5" i="1"/>
  <c r="L2" i="7" a="1"/>
  <c r="O11" i="1"/>
  <c r="F2" i="10" a="1"/>
  <c r="H20" i="1"/>
  <c r="S17" i="1"/>
  <c r="F16" i="1"/>
  <c r="AA9" i="1"/>
  <c r="H12" i="1"/>
  <c r="K6" i="1"/>
  <c r="F2" i="1"/>
  <c r="F6" i="2"/>
  <c r="AC2" i="1"/>
  <c r="B13" i="1"/>
  <c r="B6" i="1"/>
  <c r="AC1" i="1"/>
  <c r="F2" i="2"/>
  <c r="F5" i="2"/>
  <c r="R14" i="1"/>
  <c r="K2" i="1"/>
  <c r="L17" i="1"/>
  <c r="F4" i="2"/>
  <c r="H14" i="1"/>
  <c r="H5" i="1" l="1"/>
  <c r="AB2" i="1"/>
  <c r="AA6" i="1" s="1"/>
  <c r="AB3" i="1"/>
  <c r="R17" i="1"/>
  <c r="AC8" i="1"/>
  <c r="AA7" i="1"/>
  <c r="AB7" i="1"/>
  <c r="E17" i="1"/>
  <c r="F2" i="10"/>
  <c r="K3" i="10" s="1" a="1"/>
  <c r="K3" i="10" s="1"/>
  <c r="A30" i="7"/>
  <c r="A29" i="7"/>
  <c r="A28" i="7"/>
  <c r="L2" i="7"/>
  <c r="A27" i="7" s="1"/>
  <c r="G12" i="7" a="1"/>
  <c r="G12" i="7" s="1"/>
  <c r="L19" i="7" s="1" a="1"/>
  <c r="L19" i="7" s="1"/>
  <c r="L12" i="7" a="1"/>
  <c r="T4" i="7"/>
  <c r="S3" i="7"/>
  <c r="R2" i="7"/>
  <c r="U5" i="7"/>
  <c r="B11" i="5"/>
  <c r="C11" i="5" s="1"/>
  <c r="C12" i="5" s="1"/>
  <c r="D12" i="5" s="1"/>
  <c r="E18" i="1"/>
  <c r="I5" i="1"/>
  <c r="E16" i="1"/>
  <c r="H6" i="1"/>
  <c r="D12" i="1"/>
  <c r="C12" i="1"/>
  <c r="J5" i="1"/>
  <c r="J6" i="1"/>
  <c r="I6" i="1"/>
  <c r="J19" i="1"/>
  <c r="J9" i="1"/>
  <c r="I9" i="1"/>
  <c r="J11" i="1"/>
  <c r="I11" i="1"/>
  <c r="I19" i="1"/>
  <c r="J18" i="1"/>
  <c r="H11" i="1"/>
  <c r="I18" i="1"/>
  <c r="H17" i="1"/>
  <c r="I17" i="1"/>
  <c r="H9" i="1"/>
  <c r="G19" i="7" l="1" a="1"/>
  <c r="G19" i="7" s="1"/>
  <c r="AA8" i="1"/>
  <c r="AC7" i="1"/>
  <c r="AC6" i="1"/>
  <c r="AB8" i="1"/>
  <c r="AB6" i="1"/>
  <c r="AC14" i="1"/>
  <c r="AA12" i="1"/>
  <c r="AB14" i="1"/>
  <c r="AB12" i="1"/>
  <c r="AB13" i="1"/>
  <c r="AC12" i="1"/>
  <c r="AA13" i="1"/>
  <c r="AC13" i="1"/>
  <c r="AA14" i="1"/>
  <c r="L12" i="7"/>
  <c r="R12" i="7" s="1" a="1"/>
  <c r="R12" i="7" s="1"/>
  <c r="A31" i="7"/>
  <c r="B27" i="7" s="1"/>
  <c r="C27" i="7" s="1"/>
  <c r="A16" i="5" a="1"/>
  <c r="A16" i="5" s="1"/>
  <c r="G2" i="5" s="1" a="1"/>
  <c r="G2" i="5" s="1"/>
  <c r="K17" i="1"/>
  <c r="H13" i="1"/>
  <c r="K19" i="1"/>
  <c r="J13" i="1"/>
  <c r="K18" i="1"/>
  <c r="I13" i="1"/>
  <c r="B30" i="7" l="1"/>
  <c r="B29" i="7"/>
  <c r="B28" i="7"/>
  <c r="C28" i="7" s="1"/>
  <c r="C29" i="7" l="1"/>
  <c r="C30" i="7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<sst xmlns="http://schemas.openxmlformats.org/spreadsheetml/2006/main" count="392" uniqueCount="243">
  <si>
    <t>A</t>
  </si>
  <si>
    <t>Norm row</t>
  </si>
  <si>
    <t>Norm colmn</t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</si>
  <si>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row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</si>
  <si>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column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</si>
  <si>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min-max column normalisation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</si>
  <si>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min-max row normalisation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</si>
  <si>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normalised by Frobenius norm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</si>
  <si>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Centred by row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</si>
  <si>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Centred by column</t>
    </r>
  </si>
  <si>
    <t>v</t>
  </si>
  <si>
    <t>Norm</t>
  </si>
  <si>
    <t>Manhattan (Taxicab)</t>
  </si>
  <si>
    <t>Symbol</t>
  </si>
  <si>
    <t>Name</t>
  </si>
  <si>
    <t>Function</t>
  </si>
  <si>
    <t>Euclidean norm</t>
  </si>
  <si>
    <r>
      <t xml:space="preserve">General 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 xml:space="preserve"> norm</t>
    </r>
  </si>
  <si>
    <r>
      <t xml:space="preserve">For 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>=3</t>
    </r>
  </si>
  <si>
    <t>Infinity norm (Uniform norm)</t>
  </si>
  <si>
    <t>Zero norm</t>
  </si>
  <si>
    <t>Weighted norm - Mahalanobis distance is an example</t>
  </si>
  <si>
    <t>Not possible to calculate for trivial example</t>
  </si>
  <si>
    <r>
      <t>L</t>
    </r>
    <r>
      <rPr>
        <vertAlign val="subscript"/>
        <sz val="11"/>
        <color theme="1"/>
        <rFont val="Aptos Narrow"/>
        <family val="2"/>
        <scheme val="minor"/>
      </rPr>
      <t>F</t>
    </r>
    <r>
      <rPr>
        <vertAlign val="superscript"/>
        <sz val="11"/>
        <color theme="1"/>
        <rFont val="Aptos Narrow"/>
        <family val="2"/>
        <scheme val="minor"/>
      </rPr>
      <t>2</t>
    </r>
  </si>
  <si>
    <r>
      <t>Frobenius norm - Like L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but requires a matrix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</si>
  <si>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1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</si>
  <si>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2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</si>
  <si>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p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</si>
  <si>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0</t>
    </r>
  </si>
  <si>
    <r>
      <t>L</t>
    </r>
    <r>
      <rPr>
        <vertAlign val="subscript"/>
        <sz val="11"/>
        <color theme="1"/>
        <rFont val="Aptos Narrow"/>
        <family val="2"/>
      </rPr>
      <t>∞</t>
    </r>
  </si>
  <si>
    <r>
      <t>L</t>
    </r>
    <r>
      <rPr>
        <vertAlign val="subscript"/>
        <sz val="11"/>
        <color theme="1"/>
        <rFont val="Aptos Narrow"/>
        <family val="2"/>
        <scheme val="minor"/>
      </rPr>
      <t>W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</si>
  <si>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standardised</t>
    </r>
  </si>
  <si>
    <t>N=</t>
  </si>
  <si>
    <r>
      <rPr>
        <sz val="11"/>
        <color theme="1"/>
        <rFont val="Symbol"/>
        <family val="1"/>
        <charset val="2"/>
      </rPr>
      <t>1/Ö</t>
    </r>
    <r>
      <rPr>
        <sz val="11"/>
        <color theme="1"/>
        <rFont val="Aptos Narrow"/>
        <family val="2"/>
      </rPr>
      <t>N=</t>
    </r>
  </si>
  <si>
    <t>See: https://www.exceltip.com/tips/matrix-properties-and-matrix-calculations-in-excel.html</t>
  </si>
  <si>
    <r>
      <t>B C</t>
    </r>
    <r>
      <rPr>
        <vertAlign val="superscript"/>
        <sz val="11"/>
        <color theme="1"/>
        <rFont val="Aptos Narrow"/>
        <family val="2"/>
        <scheme val="minor"/>
      </rPr>
      <t>-1</t>
    </r>
  </si>
  <si>
    <t>B / C</t>
  </si>
  <si>
    <r>
      <t>A B</t>
    </r>
    <r>
      <rPr>
        <vertAlign val="superscript"/>
        <sz val="11"/>
        <color theme="1"/>
        <rFont val="Aptos Narrow"/>
        <family val="2"/>
        <scheme val="minor"/>
      </rPr>
      <t>-1</t>
    </r>
  </si>
  <si>
    <t>A / B</t>
  </si>
  <si>
    <t>detC</t>
  </si>
  <si>
    <t>detB</t>
  </si>
  <si>
    <t>detA</t>
  </si>
  <si>
    <r>
      <t>C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</si>
  <si>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B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</si>
  <si>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A</t>
    </r>
    <r>
      <rPr>
        <vertAlign val="superscript"/>
        <sz val="11"/>
        <color theme="1"/>
        <rFont val="Aptos Narrow"/>
        <family val="2"/>
        <scheme val="minor"/>
      </rPr>
      <t>-1</t>
    </r>
  </si>
  <si>
    <t>v2 C</t>
  </si>
  <si>
    <t>C v2</t>
  </si>
  <si>
    <t>v2 A</t>
  </si>
  <si>
    <t>A v2</t>
  </si>
  <si>
    <r>
      <t>A</t>
    </r>
    <r>
      <rPr>
        <vertAlign val="superscript"/>
        <sz val="11"/>
        <color theme="1"/>
        <rFont val="Aptos Narrow"/>
        <family val="2"/>
        <scheme val="minor"/>
      </rPr>
      <t>T</t>
    </r>
  </si>
  <si>
    <t>v1 C</t>
  </si>
  <si>
    <t>C v1</t>
  </si>
  <si>
    <t>v1 B</t>
  </si>
  <si>
    <t>B v1</t>
  </si>
  <si>
    <t>B+v1</t>
  </si>
  <si>
    <t>C(3,3)</t>
  </si>
  <si>
    <t>v1 A</t>
  </si>
  <si>
    <t>A v1</t>
  </si>
  <si>
    <t>v1+A</t>
  </si>
  <si>
    <t>A+v1</t>
  </si>
  <si>
    <t>v2(1,3)</t>
  </si>
  <si>
    <t>B(3,2)</t>
  </si>
  <si>
    <t>B A</t>
  </si>
  <si>
    <t>¹</t>
  </si>
  <si>
    <t>A B</t>
  </si>
  <si>
    <t>B+A</t>
  </si>
  <si>
    <t>A+B</t>
  </si>
  <si>
    <t>v1(3,1)</t>
  </si>
  <si>
    <t>A(2,3)</t>
  </si>
  <si>
    <t>v2 v1</t>
  </si>
  <si>
    <t>v1 v2</t>
  </si>
  <si>
    <t>v1+v2</t>
  </si>
  <si>
    <r>
      <t>A C</t>
    </r>
    <r>
      <rPr>
        <vertAlign val="superscript"/>
        <sz val="11"/>
        <color theme="1"/>
        <rFont val="Aptos Narrow"/>
        <family val="2"/>
        <scheme val="minor"/>
      </rPr>
      <t>-1</t>
    </r>
  </si>
  <si>
    <t>https://www.andreaminini.net/math/matrices</t>
  </si>
  <si>
    <t>A C</t>
  </si>
  <si>
    <t>C A</t>
  </si>
  <si>
    <t>B C</t>
  </si>
  <si>
    <r>
      <t>B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</si>
  <si>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C</t>
    </r>
    <r>
      <rPr>
        <vertAlign val="superscript"/>
        <sz val="11"/>
        <color theme="1"/>
        <rFont val="Aptos Narrow"/>
        <family val="2"/>
        <scheme val="minor"/>
      </rPr>
      <t>T</t>
    </r>
  </si>
  <si>
    <t>C / B</t>
  </si>
  <si>
    <t>B / A</t>
  </si>
  <si>
    <t>https://www.mathsisfun.com/algebra/matrix-determinant.html#:~:text=For%20a%203%C3%973matrix%20(3%20r</t>
  </si>
  <si>
    <t>X</t>
  </si>
  <si>
    <t>Movie 1</t>
  </si>
  <si>
    <t>Movie 2</t>
  </si>
  <si>
    <t>Movie 3</t>
  </si>
  <si>
    <t>Movie 4</t>
  </si>
  <si>
    <t>m=</t>
  </si>
  <si>
    <t>rows</t>
  </si>
  <si>
    <t>Person 1</t>
  </si>
  <si>
    <t>n=</t>
  </si>
  <si>
    <t>columns</t>
  </si>
  <si>
    <t>Person 2</t>
  </si>
  <si>
    <t>m x n=</t>
  </si>
  <si>
    <t>Person 3</t>
  </si>
  <si>
    <t>Person 4</t>
  </si>
  <si>
    <t>Person 5</t>
  </si>
  <si>
    <t>Person 6</t>
  </si>
  <si>
    <t>Means</t>
  </si>
  <si>
    <t>Covariance - Data Analysis add-in</t>
  </si>
  <si>
    <r>
      <t>Centred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</si>
  <si>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</si>
  <si>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t>Covariance matrix</t>
  </si>
  <si>
    <t>Column 1</t>
  </si>
  <si>
    <t>Column 2</t>
  </si>
  <si>
    <t>Column 3</t>
  </si>
  <si>
    <t>Column 4</t>
  </si>
  <si>
    <t>Covariance matrix (single formula)</t>
  </si>
  <si>
    <t>L</t>
  </si>
  <si>
    <r>
      <t>L</t>
    </r>
    <r>
      <rPr>
        <vertAlign val="superscript"/>
        <sz val="11"/>
        <color theme="1"/>
        <rFont val="Aptos Narrow"/>
        <family val="2"/>
        <scheme val="minor"/>
      </rPr>
      <t>T</t>
    </r>
  </si>
  <si>
    <t>A8=</t>
  </si>
  <si>
    <t>C10=</t>
  </si>
  <si>
    <t>D11=</t>
  </si>
  <si>
    <t>B9=</t>
  </si>
  <si>
    <t>A9=</t>
  </si>
  <si>
    <t>A10=</t>
  </si>
  <si>
    <t>A11=</t>
  </si>
  <si>
    <t>B10=</t>
  </si>
  <si>
    <t>B11=</t>
  </si>
  <si>
    <t>C11=</t>
  </si>
  <si>
    <t>Diagonal formulae</t>
  </si>
  <si>
    <t>Non-diagonal formulae</t>
  </si>
  <si>
    <t>Zero values in</t>
  </si>
  <si>
    <t>B8</t>
  </si>
  <si>
    <t>C8</t>
  </si>
  <si>
    <t>C9</t>
  </si>
  <si>
    <t>D8</t>
  </si>
  <si>
    <t>D9</t>
  </si>
  <si>
    <t>D10</t>
  </si>
  <si>
    <t>Covariance matrix (SUMPRODUCT formula)</t>
  </si>
  <si>
    <t>Manual .P</t>
  </si>
  <si>
    <t>Manual .S</t>
  </si>
  <si>
    <t>Determinant det(X)</t>
  </si>
  <si>
    <t>No. of people</t>
  </si>
  <si>
    <t>N-1=</t>
  </si>
  <si>
    <r>
      <t xml:space="preserve">Eigenvalues </t>
    </r>
    <r>
      <rPr>
        <sz val="11"/>
        <color theme="1"/>
        <rFont val="Symbol"/>
        <family val="1"/>
        <charset val="2"/>
      </rPr>
      <t>l</t>
    </r>
  </si>
  <si>
    <t>Eigenvalues</t>
  </si>
  <si>
    <t>Variance</t>
  </si>
  <si>
    <t>D(3,2)</t>
  </si>
  <si>
    <t>B+D</t>
  </si>
  <si>
    <t>s(1,1)</t>
  </si>
  <si>
    <t>A s</t>
  </si>
  <si>
    <t>s A</t>
  </si>
  <si>
    <t>s v1</t>
  </si>
  <si>
    <t>Inverse matrix</t>
  </si>
  <si>
    <t>=</t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</si>
  <si>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·</t>
    </r>
    <r>
      <rPr>
        <sz val="11"/>
        <color theme="1"/>
        <rFont val="Aptos Narrow"/>
        <family val="1"/>
        <charset val="2"/>
      </rPr>
      <t xml:space="preserve"> </t>
    </r>
    <r>
      <rPr>
        <sz val="11"/>
        <color theme="1"/>
        <rFont val="Aptos Narrow"/>
        <family val="2"/>
      </rPr>
      <t>v</t>
    </r>
  </si>
  <si>
    <r>
      <t xml:space="preserve">A </t>
    </r>
    <r>
      <rPr>
        <sz val="11"/>
        <color theme="1"/>
        <rFont val="Aptos Narrow"/>
        <family val="2"/>
      </rPr>
      <t>· v</t>
    </r>
  </si>
  <si>
    <t>Q</t>
  </si>
  <si>
    <r>
      <t xml:space="preserve">Q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Q</t>
    </r>
    <r>
      <rPr>
        <vertAlign val="superscript"/>
        <sz val="11"/>
        <color theme="1"/>
        <rFont val="Aptos Narrow"/>
        <family val="2"/>
      </rPr>
      <t>T</t>
    </r>
  </si>
  <si>
    <r>
      <rPr>
        <sz val="11"/>
        <color theme="1"/>
        <rFont val="Symbol"/>
        <family val="1"/>
        <charset val="2"/>
      </rPr>
      <t>1/Ö(</t>
    </r>
    <r>
      <rPr>
        <sz val="11"/>
        <color theme="1"/>
        <rFont val="Aptos Narrow"/>
        <family val="2"/>
      </rPr>
      <t>N-1)=</t>
    </r>
  </si>
  <si>
    <t>B12=</t>
  </si>
  <si>
    <r>
      <t xml:space="preserve">This formula guarantees that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  <r>
      <rPr>
        <sz val="11"/>
        <color theme="1"/>
        <rFont val="Aptos Narrow"/>
        <family val="2"/>
        <scheme val="minor"/>
      </rPr>
      <t xml:space="preserve">, which is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from EVD =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which is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from SVD</t>
    </r>
  </si>
  <si>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</rPr>
      <t>2</t>
    </r>
    <r>
      <rPr>
        <sz val="11"/>
        <color theme="1"/>
        <rFont val="Aptos Narrow"/>
        <family val="2"/>
      </rPr>
      <t xml:space="preserve"> = </t>
    </r>
    <r>
      <rPr>
        <sz val="11"/>
        <color theme="1"/>
        <rFont val="Symbol"/>
        <family val="1"/>
        <charset val="2"/>
      </rPr>
      <t>l</t>
    </r>
  </si>
  <si>
    <r>
      <t>C of centred data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and scaled by 1/(N-1)</t>
    </r>
  </si>
  <si>
    <t>V of C</t>
  </si>
  <si>
    <t>U of C</t>
  </si>
  <si>
    <r>
      <t xml:space="preserve">S </t>
    </r>
    <r>
      <rPr>
        <sz val="11"/>
        <color theme="1"/>
        <rFont val="Aptos Narrow"/>
        <family val="2"/>
        <scheme val="minor"/>
      </rPr>
      <t>of C</t>
    </r>
  </si>
  <si>
    <t>1/(N-1)</t>
  </si>
  <si>
    <r>
      <t>1/</t>
    </r>
    <r>
      <rPr>
        <sz val="11"/>
        <color theme="1"/>
        <rFont val="Aptos Narrow"/>
        <family val="2"/>
      </rPr>
      <t>(N-1)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>, scaled Covariance matrix</t>
    </r>
  </si>
  <si>
    <r>
      <rPr>
        <sz val="11"/>
        <color theme="1"/>
        <rFont val="Symbol"/>
        <family val="1"/>
        <charset val="2"/>
      </rPr>
      <t>1/</t>
    </r>
    <r>
      <rPr>
        <sz val="11"/>
        <color theme="1"/>
        <rFont val="Aptos Narrow"/>
        <family val="2"/>
      </rPr>
      <t>N=</t>
    </r>
  </si>
  <si>
    <r>
      <rPr>
        <sz val="11"/>
        <color theme="1"/>
        <rFont val="Symbol"/>
        <family val="1"/>
        <charset val="2"/>
      </rPr>
      <t>1/(</t>
    </r>
    <r>
      <rPr>
        <sz val="11"/>
        <color theme="1"/>
        <rFont val="Aptos Narrow"/>
        <family val="2"/>
      </rPr>
      <t>N-1)=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</si>
  <si>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</si>
  <si>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 xml:space="preserve">Q and </t>
    </r>
    <r>
      <rPr>
        <sz val="11"/>
        <color theme="1"/>
        <rFont val="Symbol"/>
        <family val="1"/>
        <charset val="2"/>
      </rPr>
      <t>L</t>
    </r>
  </si>
  <si>
    <r>
      <rPr>
        <sz val="11"/>
        <color theme="1"/>
        <rFont val="Symbol"/>
        <family val="1"/>
        <charset val="2"/>
      </rPr>
      <t>S</t>
    </r>
    <r>
      <rPr>
        <sz val="10.1"/>
        <color theme="1"/>
        <rFont val="Aptos Narrow"/>
        <family val="2"/>
      </rPr>
      <t xml:space="preserve"> of X</t>
    </r>
    <r>
      <rPr>
        <vertAlign val="subscript"/>
        <sz val="10.1"/>
        <color theme="1"/>
        <rFont val="Aptos Narrow"/>
        <family val="2"/>
      </rPr>
      <t>C</t>
    </r>
    <r>
      <rPr>
        <sz val="10.1"/>
        <color theme="1"/>
        <rFont val="Aptos Narrow"/>
        <family val="2"/>
      </rPr>
      <t xml:space="preserve"> </t>
    </r>
  </si>
  <si>
    <r>
      <rPr>
        <sz val="11"/>
        <color theme="1"/>
        <rFont val="Symbol"/>
        <family val="1"/>
        <charset val="2"/>
      </rPr>
      <t>s</t>
    </r>
    <r>
      <rPr>
        <vertAlign val="superscript"/>
        <sz val="10.1"/>
        <color theme="1"/>
        <rFont val="Aptos Narrow"/>
        <family val="2"/>
      </rPr>
      <t>2</t>
    </r>
  </si>
  <si>
    <r>
      <t>s´</t>
    </r>
    <r>
      <rPr>
        <sz val="10.1"/>
        <color theme="1"/>
        <rFont val="Symbol"/>
        <family val="1"/>
        <charset val="2"/>
      </rPr>
      <t>(N-1)</t>
    </r>
  </si>
  <si>
    <t>Covariance matrix C</t>
  </si>
  <si>
    <t>U from original data X</t>
  </si>
  <si>
    <t>V from original data X</t>
  </si>
  <si>
    <t>Cumulative %</t>
  </si>
  <si>
    <t>V from SVD</t>
  </si>
  <si>
    <t>Eigenvectors V</t>
  </si>
  <si>
    <t>V</t>
  </si>
  <si>
    <r>
      <t>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</si>
  <si>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-1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</si>
  <si>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-1</t>
    </r>
    <r>
      <rPr>
        <sz val="11"/>
        <color theme="1"/>
        <rFont val="Aptos Narrow"/>
        <family val="2"/>
        <scheme val="minor"/>
      </rPr>
      <t xml:space="preserve"> =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</si>
  <si>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</si>
  <si>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V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V</t>
    </r>
  </si>
  <si>
    <r>
      <t xml:space="preserve">V </t>
    </r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  <scheme val="minor"/>
      </rPr>
      <t xml:space="preserve"> V</t>
    </r>
    <r>
      <rPr>
        <vertAlign val="superscript"/>
        <sz val="11"/>
        <color theme="1"/>
        <rFont val="Aptos Narrow"/>
        <family val="2"/>
        <scheme val="minor"/>
      </rPr>
      <t>-1</t>
    </r>
  </si>
  <si>
    <t>Test that decomposition works</t>
  </si>
  <si>
    <r>
      <rPr>
        <sz val="11"/>
        <color theme="1"/>
        <rFont val="Symbol"/>
        <family val="1"/>
        <charset val="2"/>
      </rPr>
      <t>L</t>
    </r>
    <r>
      <rPr>
        <sz val="10.1"/>
        <color theme="1"/>
        <rFont val="Aptos Narrow"/>
        <family val="2"/>
      </rPr>
      <t xml:space="preserve"> of C</t>
    </r>
  </si>
  <si>
    <r>
      <rPr>
        <sz val="14"/>
        <color theme="1"/>
        <rFont val="Symbol"/>
        <family val="1"/>
        <charset val="2"/>
      </rPr>
      <t>l</t>
    </r>
    <r>
      <rPr>
        <sz val="14"/>
        <color theme="1"/>
        <rFont val="Aptos Narrow"/>
        <family val="2"/>
      </rPr>
      <t xml:space="preserve"> of C = </t>
    </r>
    <r>
      <rPr>
        <sz val="14"/>
        <color theme="1"/>
        <rFont val="Symbol"/>
        <family val="1"/>
        <charset val="2"/>
      </rPr>
      <t>s</t>
    </r>
    <r>
      <rPr>
        <sz val="14"/>
        <color theme="1"/>
        <rFont val="Aptos Narrow"/>
        <family val="2"/>
      </rPr>
      <t xml:space="preserve"> of C </t>
    </r>
    <r>
      <rPr>
        <sz val="14"/>
        <color theme="1"/>
        <rFont val="Aptos Narrow"/>
        <family val="1"/>
        <charset val="2"/>
      </rPr>
      <t xml:space="preserve">= </t>
    </r>
    <r>
      <rPr>
        <sz val="14"/>
        <color theme="1"/>
        <rFont val="Symbol"/>
        <family val="1"/>
        <charset val="2"/>
      </rPr>
      <t>s</t>
    </r>
    <r>
      <rPr>
        <vertAlign val="superscript"/>
        <sz val="12.9"/>
        <color theme="1"/>
        <rFont val="Aptos Narrow"/>
        <family val="2"/>
      </rPr>
      <t>2</t>
    </r>
    <r>
      <rPr>
        <sz val="12.9"/>
        <color theme="1"/>
        <rFont val="Aptos Narrow"/>
        <family val="1"/>
        <charset val="2"/>
      </rPr>
      <t>/(N-1)</t>
    </r>
    <r>
      <rPr>
        <sz val="12.9"/>
        <color theme="1"/>
        <rFont val="Aptos Narrow"/>
        <family val="2"/>
      </rPr>
      <t xml:space="preserve"> of X</t>
    </r>
    <r>
      <rPr>
        <vertAlign val="subscript"/>
        <sz val="12.9"/>
        <color theme="1"/>
        <rFont val="Aptos Narrow"/>
        <family val="2"/>
      </rPr>
      <t>C</t>
    </r>
  </si>
  <si>
    <t>EVD = Can be applied to any square matrix (not just symmetric)</t>
  </si>
  <si>
    <t>SVD = Can be applied to any matrix (square, rectangular,…)</t>
  </si>
  <si>
    <t>For symmetric matrices, centred data</t>
  </si>
  <si>
    <r>
      <t xml:space="preserve">C = V </t>
    </r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Aptos Narrow"/>
        <family val="2"/>
      </rPr>
      <t xml:space="preserve"> V</t>
    </r>
    <r>
      <rPr>
        <b/>
        <vertAlign val="superscript"/>
        <sz val="11"/>
        <color theme="1"/>
        <rFont val="Aptos Narrow"/>
        <family val="2"/>
      </rPr>
      <t>-1</t>
    </r>
  </si>
  <si>
    <r>
      <t xml:space="preserve">C = Q </t>
    </r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Aptos Narrow"/>
        <family val="2"/>
      </rPr>
      <t xml:space="preserve"> Q</t>
    </r>
    <r>
      <rPr>
        <b/>
        <vertAlign val="superscript"/>
        <sz val="11"/>
        <color theme="1"/>
        <rFont val="Aptos Narrow"/>
        <family val="2"/>
      </rPr>
      <t>T</t>
    </r>
  </si>
  <si>
    <r>
      <t xml:space="preserve">C = U </t>
    </r>
    <r>
      <rPr>
        <b/>
        <sz val="11"/>
        <color theme="1"/>
        <rFont val="Symbol"/>
        <family val="1"/>
        <charset val="2"/>
      </rPr>
      <t>S</t>
    </r>
    <r>
      <rPr>
        <b/>
        <sz val="10.1"/>
        <color theme="1"/>
        <rFont val="Aptos Narrow"/>
        <family val="2"/>
      </rPr>
      <t xml:space="preserve"> V</t>
    </r>
    <r>
      <rPr>
        <b/>
        <vertAlign val="superscript"/>
        <sz val="10.1"/>
        <color theme="1"/>
        <rFont val="Aptos Narrow"/>
        <family val="2"/>
      </rPr>
      <t>T</t>
    </r>
  </si>
  <si>
    <r>
      <t xml:space="preserve">U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V</t>
    </r>
    <r>
      <rPr>
        <vertAlign val="superscript"/>
        <sz val="11"/>
        <color theme="1"/>
        <rFont val="Aptos Narrow"/>
        <family val="2"/>
      </rPr>
      <t>T</t>
    </r>
  </si>
  <si>
    <r>
      <t>S</t>
    </r>
    <r>
      <rPr>
        <sz val="11"/>
        <color theme="1"/>
        <rFont val="Aptos Narrow"/>
        <family val="2"/>
        <scheme val="minor"/>
      </rPr>
      <t xml:space="preserve"> from original data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X</t>
    </r>
  </si>
  <si>
    <t>SD = Special case of EVD (for symmetric matrices only EVD = SD)</t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</si>
  <si>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Aptos Narrow"/>
        <family val="2"/>
      </rPr>
      <t>N</t>
    </r>
    <r>
      <rPr>
        <sz val="11"/>
        <color theme="1"/>
        <rFont val="Aptos Narrow"/>
        <family val="2"/>
        <scheme val="minor"/>
      </rPr>
      <t xml:space="preserve"> (for population)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</si>
  <si>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N</t>
    </r>
    <r>
      <rPr>
        <sz val="11"/>
        <color theme="1"/>
        <rFont val="Aptos Narrow"/>
        <family val="2"/>
        <scheme val="minor"/>
      </rPr>
      <t xml:space="preserve"> (for population)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</si>
  <si>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(</t>
    </r>
    <r>
      <rPr>
        <sz val="11"/>
        <color theme="1"/>
        <rFont val="Aptos Narrow"/>
        <family val="2"/>
      </rPr>
      <t>N-1)</t>
    </r>
    <r>
      <rPr>
        <sz val="11"/>
        <color theme="1"/>
        <rFont val="Aptos Narrow"/>
        <family val="2"/>
        <scheme val="minor"/>
      </rPr>
      <t xml:space="preserve"> (for sample)</t>
    </r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</si>
  <si>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scaled by 1/</t>
    </r>
    <r>
      <rPr>
        <sz val="11"/>
        <color theme="1"/>
        <rFont val="Symbol"/>
        <family val="1"/>
        <charset val="2"/>
      </rPr>
      <t>Ö(</t>
    </r>
    <r>
      <rPr>
        <sz val="11"/>
        <color theme="1"/>
        <rFont val="Aptos Narrow"/>
        <family val="2"/>
      </rPr>
      <t>N-1)</t>
    </r>
    <r>
      <rPr>
        <sz val="11"/>
        <color theme="1"/>
        <rFont val="Aptos Narrow"/>
        <family val="2"/>
        <scheme val="minor"/>
      </rPr>
      <t xml:space="preserve"> (for sample)</t>
    </r>
  </si>
  <si>
    <r>
      <t>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centred and scaled by 1/(N-1)</t>
    </r>
  </si>
  <si>
    <r>
      <t>X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>/1/(N-1)</t>
    </r>
  </si>
  <si>
    <r>
      <t xml:space="preserve">C = U </t>
    </r>
    <r>
      <rPr>
        <b/>
        <sz val="11"/>
        <rFont val="Symbol"/>
        <family val="1"/>
        <charset val="2"/>
      </rPr>
      <t>S</t>
    </r>
    <r>
      <rPr>
        <b/>
        <sz val="10.1"/>
        <rFont val="Aptos Narrow"/>
        <family val="2"/>
      </rPr>
      <t xml:space="preserve"> V</t>
    </r>
    <r>
      <rPr>
        <b/>
        <vertAlign val="superscript"/>
        <sz val="10.1"/>
        <rFont val="Aptos Narrow"/>
        <family val="2"/>
      </rPr>
      <t>T</t>
    </r>
  </si>
  <si>
    <r>
      <t>C Covariance matrix of X</t>
    </r>
    <r>
      <rPr>
        <vertAlign val="subscript"/>
        <sz val="11"/>
        <color theme="1"/>
        <rFont val="Aptos Narrow"/>
        <family val="2"/>
        <scheme val="minor"/>
      </rPr>
      <t>C,SCL</t>
    </r>
  </si>
  <si>
    <r>
      <t>L L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= X</t>
    </r>
    <r>
      <rPr>
        <vertAlign val="subscript"/>
        <sz val="11"/>
        <color theme="1"/>
        <rFont val="Aptos Narrow"/>
        <family val="2"/>
        <scheme val="minor"/>
      </rPr>
      <t>C,SCL</t>
    </r>
  </si>
  <si>
    <t>-</t>
  </si>
  <si>
    <t>+</t>
  </si>
  <si>
    <t>NOTE: V from EVD is of opposite sign to</t>
  </si>
  <si>
    <r>
      <t>S</t>
    </r>
    <r>
      <rPr>
        <sz val="11"/>
        <color theme="1"/>
        <rFont val="Aptos Narrow"/>
        <family val="2"/>
        <scheme val="minor"/>
      </rPr>
      <t xml:space="preserve"> of C</t>
    </r>
  </si>
  <si>
    <r>
      <t>V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</si>
  <si>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</si>
  <si>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where SCL=1/(N-1)</t>
    </r>
  </si>
  <si>
    <r>
      <t>S</t>
    </r>
    <r>
      <rPr>
        <sz val="11"/>
        <color theme="1"/>
        <rFont val="Aptos Narrow"/>
        <family val="2"/>
        <scheme val="minor"/>
      </rPr>
      <t xml:space="preserve">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Symbol"/>
        <family val="1"/>
        <charset val="2"/>
      </rPr>
      <t xml:space="preserve"> </t>
    </r>
    <r>
      <rPr>
        <sz val="11"/>
        <color theme="1"/>
        <rFont val="Aptos Narrow"/>
        <family val="2"/>
        <scheme val="minor"/>
      </rPr>
      <t>where SCL=1/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  <scheme val="minor"/>
      </rPr>
      <t>(N-1)</t>
    </r>
  </si>
  <si>
    <t>l = s</t>
  </si>
  <si>
    <r>
      <t>l = 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Aptos Narrow"/>
        <family val="2"/>
        <scheme val="minor"/>
      </rPr>
      <t xml:space="preserve"> and</t>
    </r>
    <r>
      <rPr>
        <sz val="11"/>
        <color theme="1"/>
        <rFont val="Symbol"/>
        <family val="1"/>
        <charset val="2"/>
      </rPr>
      <t xml:space="preserve"> s = Öl</t>
    </r>
  </si>
  <si>
    <r>
      <t>l = (N-1)s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Aptos Narrow"/>
        <family val="2"/>
        <scheme val="minor"/>
      </rPr>
      <t xml:space="preserve"> and </t>
    </r>
    <r>
      <rPr>
        <sz val="11"/>
        <color theme="1"/>
        <rFont val="Symbol"/>
        <family val="1"/>
        <charset val="2"/>
      </rPr>
      <t xml:space="preserve">s </t>
    </r>
    <r>
      <rPr>
        <sz val="11"/>
        <color theme="1"/>
        <rFont val="Aptos Narrow"/>
        <family val="2"/>
      </rPr>
      <t xml:space="preserve">= 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</t>
    </r>
    <r>
      <rPr>
        <sz val="11"/>
        <color theme="1"/>
        <rFont val="Symbol"/>
        <family val="1"/>
        <charset val="2"/>
      </rPr>
      <t>l/(N-1))</t>
    </r>
  </si>
  <si>
    <r>
      <t>l = s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Symbol"/>
        <family val="1"/>
        <charset val="2"/>
      </rPr>
      <t>/(N-1)</t>
    </r>
    <r>
      <rPr>
        <sz val="11"/>
        <color theme="1"/>
        <rFont val="Aptos Narrow"/>
        <family val="2"/>
        <scheme val="minor"/>
      </rPr>
      <t xml:space="preserve"> and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= </t>
    </r>
    <r>
      <rPr>
        <sz val="11"/>
        <color theme="1"/>
        <rFont val="Symbol"/>
        <family val="1"/>
        <charset val="2"/>
      </rPr>
      <t>Öl</t>
    </r>
    <r>
      <rPr>
        <sz val="11"/>
        <color theme="1"/>
        <rFont val="Aptos Narrow"/>
        <family val="2"/>
      </rPr>
      <t>(N-1)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</si>
  <si>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</si>
  <si>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t>U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Aptos Narrow"/>
        <family val="2"/>
      </rPr>
      <t>(N-1)</t>
    </r>
  </si>
  <si>
    <r>
      <t>V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Aptos Narrow"/>
        <family val="2"/>
      </rPr>
      <t>(N-1)</t>
    </r>
  </si>
  <si>
    <r>
      <t>V of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</si>
  <si>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</rPr>
      <t xml:space="preserve"> and V of C</t>
    </r>
  </si>
  <si>
    <t>Recomposed C</t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</si>
  <si>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SCL=1/(N-1)</t>
    </r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</si>
  <si>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where SCL=1/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  <scheme val="minor"/>
      </rPr>
      <t>(N-1)</t>
    </r>
  </si>
  <si>
    <t>B12</t>
  </si>
  <si>
    <t>J2</t>
  </si>
  <si>
    <t>Q2</t>
  </si>
  <si>
    <r>
      <t>Centred and scaled 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SCL=1/(N-1)</t>
    </r>
  </si>
  <si>
    <r>
      <t>Centred and scaled  X</t>
    </r>
    <r>
      <rPr>
        <vertAlign val="subscript"/>
        <sz val="11"/>
        <color theme="1"/>
        <rFont val="Aptos Narrow"/>
        <family val="2"/>
        <scheme val="minor"/>
      </rPr>
      <t>C,SCL</t>
    </r>
    <r>
      <rPr>
        <sz val="11"/>
        <color theme="1"/>
        <rFont val="Aptos Narrow"/>
        <family val="2"/>
        <scheme val="minor"/>
      </rPr>
      <t xml:space="preserve"> SCL=1/</t>
    </r>
    <r>
      <rPr>
        <sz val="11"/>
        <color theme="1"/>
        <rFont val="Symbol"/>
        <family val="1"/>
        <charset val="2"/>
      </rPr>
      <t>Ö</t>
    </r>
    <r>
      <rPr>
        <sz val="11"/>
        <color theme="1"/>
        <rFont val="Aptos Narrow"/>
        <family val="2"/>
      </rPr>
      <t>(N-1)</t>
    </r>
  </si>
  <si>
    <r>
      <t>Recomposed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=U </t>
    </r>
    <r>
      <rPr>
        <sz val="11"/>
        <color theme="1"/>
        <rFont val="Symbol"/>
        <family val="1"/>
        <charset val="2"/>
      </rPr>
      <t>S</t>
    </r>
    <r>
      <rPr>
        <sz val="9.9"/>
        <color theme="1"/>
        <rFont val="Aptos Narrow"/>
        <family val="2"/>
      </rPr>
      <t xml:space="preserve"> V</t>
    </r>
    <r>
      <rPr>
        <vertAlign val="superscript"/>
        <sz val="9.9"/>
        <color theme="1"/>
        <rFont val="Aptos Narrow"/>
        <family val="2"/>
      </rPr>
      <t>T</t>
    </r>
  </si>
  <si>
    <r>
      <t xml:space="preserve">C = V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/(N-1)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</si>
  <si>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C = 1/(N-1)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</si>
  <si>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C = 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</si>
  <si>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C =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</si>
  <si>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 xml:space="preserve">           = V </t>
    </r>
    <r>
      <rPr>
        <sz val="11"/>
        <color theme="1"/>
        <rFont val="Symbol"/>
        <family val="1"/>
        <charset val="2"/>
      </rPr>
      <t>S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V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</si>
  <si>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1/(N-1)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</si>
  <si>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t>Covariance C</t>
  </si>
  <si>
    <t>Eigenvalues and Eigenvectors of C</t>
  </si>
  <si>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Aptos Narrow"/>
        <family val="2"/>
      </rPr>
      <t xml:space="preserve"> of X</t>
    </r>
    <r>
      <rPr>
        <vertAlign val="subscript"/>
        <sz val="11"/>
        <color theme="1"/>
        <rFont val="Aptos Narrow"/>
        <family val="2"/>
      </rPr>
      <t>C</t>
    </r>
  </si>
  <si>
    <r>
      <t>Score matrix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sz val="11"/>
        <color theme="1"/>
        <rFont val="Symbol"/>
        <family val="1"/>
        <charset val="2"/>
      </rPr>
      <t>´</t>
    </r>
    <r>
      <rPr>
        <sz val="11"/>
        <color theme="1"/>
        <rFont val="Aptos Narrow"/>
        <family val="2"/>
      </rPr>
      <t>V</t>
    </r>
    <r>
      <rPr>
        <sz val="11"/>
        <color theme="1"/>
        <rFont val="Aptos Narrow"/>
        <family val="2"/>
        <scheme val="minor"/>
      </rPr>
      <t xml:space="preserve"> from EVD</t>
    </r>
  </si>
  <si>
    <r>
      <t>Score matrix U</t>
    </r>
    <r>
      <rPr>
        <sz val="11"/>
        <color theme="1"/>
        <rFont val="Symbol"/>
        <family val="1"/>
        <charset val="2"/>
      </rPr>
      <t>´S</t>
    </r>
    <r>
      <rPr>
        <sz val="11"/>
        <color theme="1"/>
        <rFont val="Aptos Narrow"/>
        <family val="2"/>
        <scheme val="minor"/>
      </rPr>
      <t xml:space="preserve"> from SVD</t>
    </r>
  </si>
  <si>
    <t>However, V matrices also have the opposite signs, so this is OK.</t>
  </si>
  <si>
    <t>The signs are arbitrary and not uniquely defined, which is perfectly OK,</t>
  </si>
  <si>
    <t>The score matrix is identical, but with opposite signs.</t>
  </si>
  <si>
    <t>What matters is the relative position of the data points along that axis.</t>
  </si>
  <si>
    <t>because the direction of a principal component is meaningless.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</si>
</sst>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"/>
    <numFmt numFmtId="165" formatCode="0.0000"/>
  </numFmts>
  <fonts count="4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</font>
    <font>
      <sz val="11"/>
      <color theme="1"/>
      <name val="Symbol"/>
      <family val="1"/>
      <charset val="2"/>
    </font>
    <font>
      <sz val="11"/>
      <color theme="1"/>
      <name val="Aptos Narrow"/>
      <family val="2"/>
    </font>
    <font>
      <sz val="11"/>
      <color theme="1"/>
      <name val="Aptos Narrow"/>
      <family val="1"/>
      <charset val="2"/>
    </font>
    <font>
      <b/>
      <sz val="12"/>
      <color theme="1"/>
      <name val="Symbol"/>
      <family val="1"/>
      <charset val="2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vertAlign val="superscript"/>
      <sz val="11"/>
      <color theme="1"/>
      <name val="Aptos Narrow"/>
      <family val="2"/>
    </font>
    <font>
      <sz val="9.9"/>
      <color theme="1"/>
      <name val="Aptos Narrow"/>
      <family val="2"/>
    </font>
    <font>
      <vertAlign val="superscript"/>
      <sz val="9.9"/>
      <color theme="1"/>
      <name val="Aptos Narrow"/>
      <family val="2"/>
    </font>
    <font>
      <sz val="10.1"/>
      <color theme="1"/>
      <name val="Aptos Narrow"/>
      <family val="2"/>
    </font>
    <font>
      <vertAlign val="subscript"/>
      <sz val="10.1"/>
      <color theme="1"/>
      <name val="Aptos Narrow"/>
      <family val="2"/>
    </font>
    <font>
      <vertAlign val="superscript"/>
      <sz val="10.1"/>
      <color theme="1"/>
      <name val="Aptos Narrow"/>
      <family val="2"/>
    </font>
    <font>
      <sz val="10.1"/>
      <color theme="1"/>
      <name val="Symbol"/>
      <family val="1"/>
      <charset val="2"/>
    </font>
    <font>
      <sz val="14"/>
      <color theme="1"/>
      <name val="Aptos Narrow"/>
      <family val="1"/>
      <charset val="2"/>
    </font>
    <font>
      <sz val="14"/>
      <color theme="1"/>
      <name val="Symbol"/>
      <family val="1"/>
      <charset val="2"/>
    </font>
    <font>
      <sz val="14"/>
      <color theme="1"/>
      <name val="Aptos Narrow"/>
      <family val="2"/>
    </font>
    <font>
      <sz val="14"/>
      <color theme="1"/>
      <name val="Aptos Narrow"/>
      <family val="1"/>
      <charset val="2"/>
      <scheme val="minor"/>
    </font>
    <font>
      <sz val="12.9"/>
      <color theme="1"/>
      <name val="Aptos Narrow"/>
      <family val="1"/>
      <charset val="2"/>
    </font>
    <font>
      <vertAlign val="superscript"/>
      <sz val="12.9"/>
      <color theme="1"/>
      <name val="Aptos Narrow"/>
      <family val="2"/>
    </font>
    <font>
      <vertAlign val="subscript"/>
      <sz val="12.9"/>
      <color theme="1"/>
      <name val="Aptos Narrow"/>
      <family val="2"/>
    </font>
    <font>
      <sz val="12.9"/>
      <color theme="1"/>
      <name val="Aptos Narrow"/>
      <family val="2"/>
    </font>
    <font>
      <b/>
      <sz val="11"/>
      <color theme="1"/>
      <name val="Symbol"/>
      <family val="1"/>
      <charset val="2"/>
    </font>
    <font>
      <b/>
      <sz val="11"/>
      <color theme="1"/>
      <name val="Aptos Narrow"/>
      <family val="2"/>
    </font>
    <font>
      <b/>
      <vertAlign val="superscript"/>
      <sz val="11"/>
      <color theme="1"/>
      <name val="Aptos Narrow"/>
      <family val="2"/>
    </font>
    <font>
      <b/>
      <sz val="10.1"/>
      <color theme="1"/>
      <name val="Aptos Narrow"/>
      <family val="2"/>
    </font>
    <font>
      <b/>
      <vertAlign val="superscript"/>
      <sz val="10.1"/>
      <color theme="1"/>
      <name val="Aptos Narrow"/>
      <family val="2"/>
    </font>
    <font>
      <b/>
      <sz val="11"/>
      <name val="Aptos Narrow"/>
      <family val="2"/>
      <scheme val="minor"/>
    </font>
    <font>
      <b/>
      <sz val="11"/>
      <name val="Symbol"/>
      <family val="1"/>
      <charset val="2"/>
    </font>
    <font>
      <b/>
      <sz val="10.1"/>
      <name val="Aptos Narrow"/>
      <family val="2"/>
    </font>
    <font>
      <b/>
      <vertAlign val="superscript"/>
      <sz val="10.1"/>
      <name val="Aptos Narrow"/>
      <family val="2"/>
    </font>
    <font>
      <vertAlign val="superscript"/>
      <sz val="11"/>
      <color theme="1"/>
      <name val="Symbol"/>
      <family val="1"/>
      <charset val="2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43" fontId="11" fillId="0" borderId="0" applyFont="0" applyFill="0" applyBorder="0" applyAlignment="0" applyProtection="0"/>
  </cellStyleXfs>
  <cellXfs count="270">
    <xf numFmtId="0" fontId="0" fillId="0" borderId="0" xfId="0"/>
    <xf numFmtId="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quotePrefix="1"/>
    <xf numFmtId="0" fontId="2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0" xfId="0" applyFill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0" borderId="7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quotePrefix="1" applyBorder="1"/>
    <xf numFmtId="0" fontId="0" fillId="0" borderId="5" xfId="0" quotePrefix="1" applyBorder="1"/>
    <xf numFmtId="0" fontId="0" fillId="0" borderId="6" xfId="0" quotePrefix="1" applyBorder="1"/>
    <xf numFmtId="0" fontId="0" fillId="0" borderId="7" xfId="0" quotePrefix="1" applyBorder="1"/>
    <xf numFmtId="0" fontId="0" fillId="0" borderId="8" xfId="0" quotePrefix="1" applyBorder="1"/>
    <xf numFmtId="0" fontId="0" fillId="0" borderId="9" xfId="0" quotePrefix="1" applyBorder="1"/>
    <xf numFmtId="2" fontId="0" fillId="0" borderId="10" xfId="0" quotePrefix="1" applyNumberFormat="1" applyBorder="1"/>
    <xf numFmtId="0" fontId="0" fillId="0" borderId="11" xfId="0" quotePrefix="1" applyBorder="1"/>
    <xf numFmtId="0" fontId="0" fillId="0" borderId="5" xfId="0" applyBorder="1"/>
    <xf numFmtId="0" fontId="0" fillId="0" borderId="10" xfId="0" applyBorder="1"/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0" xfId="0" applyFill="1"/>
    <xf numFmtId="0" fontId="0" fillId="4" borderId="0" xfId="0" applyFill="1"/>
    <xf numFmtId="0" fontId="0" fillId="0" borderId="22" xfId="0" applyBorder="1"/>
    <xf numFmtId="0" fontId="0" fillId="5" borderId="0" xfId="0" applyFill="1"/>
    <xf numFmtId="0" fontId="0" fillId="6" borderId="0" xfId="0" applyFill="1"/>
    <xf numFmtId="0" fontId="0" fillId="7" borderId="0" xfId="0" applyFill="1"/>
    <xf numFmtId="0" fontId="9" fillId="0" borderId="0" xfId="0" applyFont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3" xfId="0" applyBorder="1"/>
    <xf numFmtId="0" fontId="10" fillId="0" borderId="0" xfId="1"/>
    <xf numFmtId="0" fontId="0" fillId="0" borderId="0" xfId="0" applyAlignment="1">
      <alignment horizontal="center"/>
    </xf>
    <xf numFmtId="0" fontId="12" fillId="0" borderId="0" xfId="0" applyFont="1"/>
    <xf numFmtId="0" fontId="2" fillId="0" borderId="27" xfId="0" applyFont="1" applyBorder="1" applyAlignment="1">
      <alignment horizontal="center"/>
    </xf>
    <xf numFmtId="2" fontId="0" fillId="0" borderId="22" xfId="0" applyNumberFormat="1" applyBorder="1"/>
    <xf numFmtId="0" fontId="0" fillId="8" borderId="0" xfId="0" applyFill="1"/>
    <xf numFmtId="0" fontId="13" fillId="0" borderId="0" xfId="0" applyFont="1"/>
    <xf numFmtId="2" fontId="14" fillId="0" borderId="0" xfId="0" applyNumberFormat="1" applyFont="1"/>
    <xf numFmtId="164" fontId="0" fillId="0" borderId="0" xfId="0" applyNumberFormat="1"/>
    <xf numFmtId="0" fontId="0" fillId="9" borderId="0" xfId="0" applyFill="1"/>
    <xf numFmtId="0" fontId="8" fillId="0" borderId="0" xfId="0" applyFont="1"/>
    <xf numFmtId="0" fontId="6" fillId="0" borderId="0" xfId="0" applyFont="1"/>
    <xf numFmtId="2" fontId="0" fillId="0" borderId="16" xfId="0" applyNumberFormat="1" applyBorder="1"/>
    <xf numFmtId="2" fontId="0" fillId="0" borderId="15" xfId="0" applyNumberFormat="1" applyBorder="1"/>
    <xf numFmtId="2" fontId="0" fillId="0" borderId="21" xfId="0" applyNumberFormat="1" applyBorder="1"/>
    <xf numFmtId="2" fontId="0" fillId="0" borderId="20" xfId="0" applyNumberFormat="1" applyBorder="1"/>
    <xf numFmtId="2" fontId="0" fillId="0" borderId="14" xfId="0" applyNumberFormat="1" applyBorder="1"/>
    <xf numFmtId="2" fontId="0" fillId="0" borderId="19" xfId="0" applyNumberFormat="1" applyBorder="1"/>
    <xf numFmtId="2" fontId="0" fillId="0" borderId="18" xfId="0" applyNumberFormat="1" applyBorder="1"/>
    <xf numFmtId="2" fontId="0" fillId="0" borderId="17" xfId="0" applyNumberFormat="1" applyBorder="1"/>
    <xf numFmtId="0" fontId="6" fillId="0" borderId="14" xfId="0" applyFont="1" applyBorder="1"/>
    <xf numFmtId="2" fontId="0" fillId="0" borderId="13" xfId="0" applyNumberFormat="1" applyBorder="1"/>
    <xf numFmtId="2" fontId="0" fillId="0" borderId="12" xfId="0" applyNumberFormat="1" applyBorder="1"/>
    <xf numFmtId="1" fontId="0" fillId="0" borderId="16" xfId="0" applyNumberFormat="1" applyBorder="1"/>
    <xf numFmtId="1" fontId="0" fillId="0" borderId="15" xfId="0" applyNumberFormat="1" applyBorder="1"/>
    <xf numFmtId="1" fontId="0" fillId="0" borderId="21" xfId="0" applyNumberFormat="1" applyBorder="1"/>
    <xf numFmtId="1" fontId="0" fillId="0" borderId="22" xfId="0" applyNumberFormat="1" applyBorder="1"/>
    <xf numFmtId="0" fontId="8" fillId="0" borderId="14" xfId="0" applyFont="1" applyBorder="1"/>
    <xf numFmtId="164" fontId="0" fillId="0" borderId="19" xfId="0" applyNumberFormat="1" applyBorder="1"/>
    <xf numFmtId="164" fontId="0" fillId="0" borderId="20" xfId="0" applyNumberFormat="1" applyBorder="1"/>
    <xf numFmtId="2" fontId="0" fillId="0" borderId="19" xfId="0" quotePrefix="1" applyNumberFormat="1" applyBorder="1"/>
    <xf numFmtId="0" fontId="6" fillId="0" borderId="0" xfId="0" applyFont="1" applyAlignment="1">
      <alignment horizontal="right"/>
    </xf>
    <xf numFmtId="164" fontId="0" fillId="4" borderId="0" xfId="0" applyNumberFormat="1" applyFill="1"/>
    <xf numFmtId="164" fontId="0" fillId="4" borderId="19" xfId="0" applyNumberFormat="1" applyFill="1" applyBorder="1"/>
    <xf numFmtId="164" fontId="0" fillId="4" borderId="20" xfId="0" applyNumberFormat="1" applyFill="1" applyBorder="1"/>
    <xf numFmtId="0" fontId="8" fillId="0" borderId="19" xfId="0" applyFont="1" applyBorder="1"/>
    <xf numFmtId="2" fontId="0" fillId="4" borderId="0" xfId="0" applyNumberFormat="1" applyFill="1"/>
    <xf numFmtId="2" fontId="0" fillId="4" borderId="20" xfId="0" applyNumberFormat="1" applyFill="1" applyBorder="1"/>
    <xf numFmtId="0" fontId="0" fillId="0" borderId="14" xfId="0" applyBorder="1" applyAlignment="1">
      <alignment horizontal="center"/>
    </xf>
    <xf numFmtId="1" fontId="0" fillId="0" borderId="19" xfId="0" applyNumberFormat="1" applyBorder="1"/>
    <xf numFmtId="1" fontId="0" fillId="0" borderId="18" xfId="0" applyNumberFormat="1" applyBorder="1"/>
    <xf numFmtId="1" fontId="0" fillId="0" borderId="17" xfId="0" applyNumberFormat="1" applyBorder="1"/>
    <xf numFmtId="1" fontId="0" fillId="0" borderId="20" xfId="0" applyNumberFormat="1" applyBorder="1"/>
    <xf numFmtId="164" fontId="0" fillId="0" borderId="15" xfId="0" applyNumberFormat="1" applyBorder="1"/>
    <xf numFmtId="0" fontId="8" fillId="0" borderId="23" xfId="0" applyFont="1" applyBorder="1"/>
    <xf numFmtId="2" fontId="0" fillId="0" borderId="26" xfId="0" applyNumberFormat="1" applyBorder="1"/>
    <xf numFmtId="0" fontId="6" fillId="0" borderId="23" xfId="0" applyFont="1" applyBorder="1"/>
    <xf numFmtId="0" fontId="22" fillId="0" borderId="0" xfId="0" applyFont="1"/>
    <xf numFmtId="164" fontId="0" fillId="0" borderId="16" xfId="0" applyNumberFormat="1" applyBorder="1"/>
    <xf numFmtId="164" fontId="0" fillId="0" borderId="21" xfId="0" applyNumberFormat="1" applyBorder="1"/>
    <xf numFmtId="164" fontId="0" fillId="10" borderId="24" xfId="0" applyNumberFormat="1" applyFill="1" applyBorder="1"/>
    <xf numFmtId="164" fontId="0" fillId="10" borderId="25" xfId="0" applyNumberFormat="1" applyFill="1" applyBorder="1"/>
    <xf numFmtId="164" fontId="0" fillId="10" borderId="26" xfId="0" applyNumberFormat="1" applyFill="1" applyBorder="1"/>
    <xf numFmtId="2" fontId="0" fillId="4" borderId="19" xfId="0" applyNumberFormat="1" applyFill="1" applyBorder="1"/>
    <xf numFmtId="164" fontId="0" fillId="0" borderId="18" xfId="0" applyNumberFormat="1" applyBorder="1"/>
    <xf numFmtId="164" fontId="0" fillId="0" borderId="2" xfId="0" applyNumberFormat="1" applyBorder="1"/>
    <xf numFmtId="164" fontId="0" fillId="0" borderId="28" xfId="0" applyNumberFormat="1" applyBorder="1"/>
    <xf numFmtId="164" fontId="0" fillId="0" borderId="29" xfId="0" applyNumberFormat="1" applyBorder="1"/>
    <xf numFmtId="164" fontId="0" fillId="0" borderId="30" xfId="0" applyNumberFormat="1" applyBorder="1"/>
    <xf numFmtId="164" fontId="0" fillId="0" borderId="31" xfId="0" applyNumberFormat="1" applyBorder="1"/>
    <xf numFmtId="164" fontId="0" fillId="0" borderId="32" xfId="0" applyNumberFormat="1" applyBorder="1"/>
    <xf numFmtId="2" fontId="0" fillId="0" borderId="18" xfId="0" quotePrefix="1" applyNumberFormat="1" applyBorder="1"/>
    <xf numFmtId="2" fontId="0" fillId="0" borderId="17" xfId="0" quotePrefix="1" applyNumberFormat="1" applyBorder="1"/>
    <xf numFmtId="2" fontId="0" fillId="0" borderId="16" xfId="0" quotePrefix="1" applyNumberFormat="1" applyBorder="1"/>
    <xf numFmtId="2" fontId="0" fillId="0" borderId="0" xfId="0" quotePrefix="1" applyNumberFormat="1"/>
    <xf numFmtId="2" fontId="0" fillId="0" borderId="15" xfId="0" quotePrefix="1" applyNumberFormat="1" applyBorder="1"/>
    <xf numFmtId="2" fontId="0" fillId="0" borderId="21" xfId="0" quotePrefix="1" applyNumberFormat="1" applyBorder="1"/>
    <xf numFmtId="2" fontId="0" fillId="0" borderId="22" xfId="0" quotePrefix="1" applyNumberFormat="1" applyBorder="1"/>
    <xf numFmtId="2" fontId="0" fillId="0" borderId="20" xfId="0" quotePrefix="1" applyNumberFormat="1" applyBorder="1"/>
    <xf numFmtId="43" fontId="0" fillId="0" borderId="19" xfId="2" applyFont="1" applyBorder="1"/>
    <xf numFmtId="43" fontId="0" fillId="0" borderId="18" xfId="2" applyFont="1" applyBorder="1"/>
    <xf numFmtId="2" fontId="0" fillId="0" borderId="18" xfId="2" applyNumberFormat="1" applyFont="1" applyBorder="1"/>
    <xf numFmtId="2" fontId="0" fillId="0" borderId="17" xfId="2" applyNumberFormat="1" applyFont="1" applyBorder="1"/>
    <xf numFmtId="43" fontId="0" fillId="0" borderId="16" xfId="2" applyFont="1" applyBorder="1"/>
    <xf numFmtId="43" fontId="0" fillId="0" borderId="0" xfId="2" applyFont="1" applyBorder="1"/>
    <xf numFmtId="2" fontId="0" fillId="0" borderId="0" xfId="2" applyNumberFormat="1" applyFont="1" applyBorder="1"/>
    <xf numFmtId="2" fontId="0" fillId="0" borderId="15" xfId="2" applyNumberFormat="1" applyFont="1" applyBorder="1"/>
    <xf numFmtId="2" fontId="0" fillId="0" borderId="16" xfId="2" applyNumberFormat="1" applyFont="1" applyBorder="1"/>
    <xf numFmtId="43" fontId="0" fillId="0" borderId="15" xfId="2" applyFont="1" applyBorder="1"/>
    <xf numFmtId="2" fontId="0" fillId="0" borderId="21" xfId="2" applyNumberFormat="1" applyFont="1" applyBorder="1"/>
    <xf numFmtId="2" fontId="0" fillId="0" borderId="22" xfId="2" applyNumberFormat="1" applyFont="1" applyBorder="1"/>
    <xf numFmtId="43" fontId="0" fillId="0" borderId="22" xfId="2" applyFont="1" applyBorder="1"/>
    <xf numFmtId="43" fontId="0" fillId="0" borderId="20" xfId="2" applyFont="1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164" fontId="0" fillId="7" borderId="19" xfId="0" applyNumberFormat="1" applyFill="1" applyBorder="1"/>
    <xf numFmtId="164" fontId="0" fillId="7" borderId="0" xfId="0" applyNumberFormat="1" applyFill="1"/>
    <xf numFmtId="164" fontId="0" fillId="7" borderId="15" xfId="0" applyNumberFormat="1" applyFill="1" applyBorder="1"/>
    <xf numFmtId="164" fontId="0" fillId="0" borderId="17" xfId="0" applyNumberFormat="1" applyBorder="1"/>
    <xf numFmtId="164" fontId="0" fillId="4" borderId="14" xfId="0" applyNumberFormat="1" applyFill="1" applyBorder="1"/>
    <xf numFmtId="164" fontId="0" fillId="4" borderId="13" xfId="0" applyNumberFormat="1" applyFill="1" applyBorder="1"/>
    <xf numFmtId="164" fontId="0" fillId="4" borderId="12" xfId="0" applyNumberFormat="1" applyFill="1" applyBorder="1"/>
    <xf numFmtId="164" fontId="0" fillId="4" borderId="24" xfId="0" applyNumberFormat="1" applyFill="1" applyBorder="1"/>
    <xf numFmtId="164" fontId="0" fillId="4" borderId="25" xfId="0" applyNumberFormat="1" applyFill="1" applyBorder="1"/>
    <xf numFmtId="164" fontId="0" fillId="4" borderId="26" xfId="0" applyNumberFormat="1" applyFill="1" applyBorder="1"/>
    <xf numFmtId="0" fontId="25" fillId="0" borderId="0" xfId="0" applyFont="1"/>
    <xf numFmtId="2" fontId="0" fillId="11" borderId="16" xfId="0" applyNumberFormat="1" applyFill="1" applyBorder="1"/>
    <xf numFmtId="2" fontId="0" fillId="11" borderId="0" xfId="0" applyNumberFormat="1" applyFill="1"/>
    <xf numFmtId="2" fontId="0" fillId="11" borderId="15" xfId="0" applyNumberFormat="1" applyFill="1" applyBorder="1"/>
    <xf numFmtId="2" fontId="0" fillId="11" borderId="21" xfId="0" applyNumberFormat="1" applyFill="1" applyBorder="1"/>
    <xf numFmtId="2" fontId="0" fillId="11" borderId="22" xfId="0" applyNumberFormat="1" applyFill="1" applyBorder="1"/>
    <xf numFmtId="2" fontId="0" fillId="11" borderId="20" xfId="0" applyNumberFormat="1" applyFill="1" applyBorder="1"/>
    <xf numFmtId="165" fontId="0" fillId="0" borderId="0" xfId="0" applyNumberFormat="1"/>
    <xf numFmtId="165" fontId="0" fillId="0" borderId="22" xfId="0" applyNumberFormat="1" applyBorder="1"/>
    <xf numFmtId="165" fontId="0" fillId="0" borderId="20" xfId="0" applyNumberFormat="1" applyBorder="1"/>
    <xf numFmtId="0" fontId="35" fillId="0" borderId="0" xfId="0" applyFont="1"/>
    <xf numFmtId="2" fontId="0" fillId="11" borderId="19" xfId="0" applyNumberFormat="1" applyFill="1" applyBorder="1"/>
    <xf numFmtId="2" fontId="0" fillId="11" borderId="18" xfId="0" applyNumberFormat="1" applyFill="1" applyBorder="1"/>
    <xf numFmtId="2" fontId="0" fillId="11" borderId="17" xfId="0" applyNumberFormat="1" applyFill="1" applyBorder="1"/>
    <xf numFmtId="164" fontId="0" fillId="12" borderId="16" xfId="0" applyNumberFormat="1" applyFill="1" applyBorder="1"/>
    <xf numFmtId="164" fontId="0" fillId="12" borderId="0" xfId="0" applyNumberFormat="1" applyFill="1"/>
    <xf numFmtId="164" fontId="0" fillId="12" borderId="15" xfId="0" applyNumberFormat="1" applyFill="1" applyBorder="1"/>
    <xf numFmtId="164" fontId="0" fillId="12" borderId="21" xfId="0" applyNumberFormat="1" applyFill="1" applyBorder="1"/>
    <xf numFmtId="164" fontId="0" fillId="12" borderId="22" xfId="0" applyNumberFormat="1" applyFill="1" applyBorder="1"/>
    <xf numFmtId="164" fontId="0" fillId="12" borderId="20" xfId="0" applyNumberFormat="1" applyFill="1" applyBorder="1"/>
    <xf numFmtId="164" fontId="0" fillId="0" borderId="22" xfId="0" applyNumberFormat="1" applyBorder="1"/>
    <xf numFmtId="0" fontId="0" fillId="0" borderId="0" xfId="0" quotePrefix="1" applyAlignment="1">
      <alignment horizontal="center"/>
    </xf>
    <xf numFmtId="2" fontId="13" fillId="0" borderId="0" xfId="0" applyNumberFormat="1" applyFont="1"/>
    <xf numFmtId="2" fontId="13" fillId="0" borderId="14" xfId="0" applyNumberFormat="1" applyFont="1" applyBorder="1"/>
    <xf numFmtId="0" fontId="6" fillId="10" borderId="0" xfId="0" applyFont="1" applyFill="1"/>
    <xf numFmtId="0" fontId="0" fillId="10" borderId="0" xfId="0" applyFill="1"/>
    <xf numFmtId="164" fontId="0" fillId="12" borderId="19" xfId="0" applyNumberFormat="1" applyFill="1" applyBorder="1"/>
    <xf numFmtId="164" fontId="0" fillId="12" borderId="18" xfId="0" applyNumberFormat="1" applyFill="1" applyBorder="1"/>
    <xf numFmtId="164" fontId="0" fillId="12" borderId="17" xfId="0" applyNumberFormat="1" applyFill="1" applyBorder="1"/>
    <xf numFmtId="164" fontId="0" fillId="9" borderId="19" xfId="0" applyNumberFormat="1" applyFill="1" applyBorder="1"/>
    <xf numFmtId="164" fontId="0" fillId="9" borderId="18" xfId="0" applyNumberFormat="1" applyFill="1" applyBorder="1"/>
    <xf numFmtId="164" fontId="0" fillId="9" borderId="17" xfId="0" applyNumberFormat="1" applyFill="1" applyBorder="1"/>
    <xf numFmtId="164" fontId="0" fillId="9" borderId="16" xfId="0" applyNumberFormat="1" applyFill="1" applyBorder="1"/>
    <xf numFmtId="164" fontId="0" fillId="9" borderId="0" xfId="0" applyNumberFormat="1" applyFill="1"/>
    <xf numFmtId="164" fontId="0" fillId="9" borderId="15" xfId="0" applyNumberFormat="1" applyFill="1" applyBorder="1"/>
    <xf numFmtId="164" fontId="0" fillId="9" borderId="21" xfId="0" applyNumberFormat="1" applyFill="1" applyBorder="1"/>
    <xf numFmtId="164" fontId="0" fillId="9" borderId="22" xfId="0" applyNumberFormat="1" applyFill="1" applyBorder="1"/>
    <xf numFmtId="164" fontId="0" fillId="9" borderId="20" xfId="0" applyNumberFormat="1" applyFill="1" applyBorder="1"/>
    <xf numFmtId="2" fontId="0" fillId="2" borderId="19" xfId="0" applyNumberFormat="1" applyFill="1" applyBorder="1"/>
    <xf numFmtId="2" fontId="0" fillId="2" borderId="18" xfId="0" applyNumberFormat="1" applyFill="1" applyBorder="1"/>
    <xf numFmtId="2" fontId="0" fillId="2" borderId="17" xfId="0" applyNumberFormat="1" applyFill="1" applyBorder="1"/>
    <xf numFmtId="2" fontId="0" fillId="2" borderId="16" xfId="0" applyNumberFormat="1" applyFill="1" applyBorder="1"/>
    <xf numFmtId="2" fontId="0" fillId="2" borderId="0" xfId="0" applyNumberFormat="1" applyFill="1"/>
    <xf numFmtId="2" fontId="0" fillId="2" borderId="15" xfId="0" applyNumberFormat="1" applyFill="1" applyBorder="1"/>
    <xf numFmtId="2" fontId="0" fillId="2" borderId="21" xfId="0" applyNumberFormat="1" applyFill="1" applyBorder="1"/>
    <xf numFmtId="2" fontId="0" fillId="2" borderId="22" xfId="0" applyNumberFormat="1" applyFill="1" applyBorder="1"/>
    <xf numFmtId="2" fontId="0" fillId="2" borderId="20" xfId="0" applyNumberFormat="1" applyFill="1" applyBorder="1"/>
    <xf numFmtId="2" fontId="0" fillId="13" borderId="19" xfId="0" applyNumberFormat="1" applyFill="1" applyBorder="1"/>
    <xf numFmtId="2" fontId="0" fillId="13" borderId="18" xfId="0" applyNumberFormat="1" applyFill="1" applyBorder="1"/>
    <xf numFmtId="2" fontId="0" fillId="13" borderId="17" xfId="0" applyNumberFormat="1" applyFill="1" applyBorder="1"/>
    <xf numFmtId="2" fontId="0" fillId="13" borderId="16" xfId="0" applyNumberFormat="1" applyFill="1" applyBorder="1"/>
    <xf numFmtId="2" fontId="0" fillId="13" borderId="0" xfId="0" applyNumberFormat="1" applyFill="1"/>
    <xf numFmtId="2" fontId="0" fillId="13" borderId="15" xfId="0" applyNumberFormat="1" applyFill="1" applyBorder="1"/>
    <xf numFmtId="2" fontId="13" fillId="13" borderId="16" xfId="0" applyNumberFormat="1" applyFont="1" applyFill="1" applyBorder="1"/>
    <xf numFmtId="2" fontId="13" fillId="13" borderId="0" xfId="0" applyNumberFormat="1" applyFont="1" applyFill="1"/>
    <xf numFmtId="2" fontId="13" fillId="13" borderId="15" xfId="0" applyNumberFormat="1" applyFont="1" applyFill="1" applyBorder="1"/>
    <xf numFmtId="2" fontId="0" fillId="13" borderId="21" xfId="0" applyNumberFormat="1" applyFill="1" applyBorder="1"/>
    <xf numFmtId="2" fontId="0" fillId="13" borderId="22" xfId="0" applyNumberFormat="1" applyFill="1" applyBorder="1"/>
    <xf numFmtId="2" fontId="0" fillId="13" borderId="20" xfId="0" applyNumberFormat="1" applyFill="1" applyBorder="1"/>
    <xf numFmtId="2" fontId="13" fillId="0" borderId="13" xfId="0" applyNumberFormat="1" applyFont="1" applyBorder="1"/>
    <xf numFmtId="2" fontId="13" fillId="0" borderId="12" xfId="0" applyNumberFormat="1" applyFont="1" applyBorder="1"/>
    <xf numFmtId="0" fontId="13" fillId="0" borderId="0" xfId="0" applyFont="1" applyAlignment="1">
      <alignment horizontal="right"/>
    </xf>
    <xf numFmtId="2" fontId="0" fillId="3" borderId="19" xfId="0" applyNumberFormat="1" applyFill="1" applyBorder="1"/>
    <xf numFmtId="2" fontId="0" fillId="3" borderId="18" xfId="0" applyNumberFormat="1" applyFill="1" applyBorder="1"/>
    <xf numFmtId="2" fontId="0" fillId="3" borderId="17" xfId="0" applyNumberFormat="1" applyFill="1" applyBorder="1"/>
    <xf numFmtId="2" fontId="0" fillId="3" borderId="16" xfId="0" applyNumberFormat="1" applyFill="1" applyBorder="1"/>
    <xf numFmtId="2" fontId="0" fillId="3" borderId="0" xfId="0" applyNumberFormat="1" applyFill="1"/>
    <xf numFmtId="2" fontId="0" fillId="3" borderId="15" xfId="0" applyNumberFormat="1" applyFill="1" applyBorder="1"/>
    <xf numFmtId="2" fontId="0" fillId="3" borderId="21" xfId="0" applyNumberFormat="1" applyFill="1" applyBorder="1"/>
    <xf numFmtId="2" fontId="0" fillId="3" borderId="22" xfId="0" applyNumberFormat="1" applyFill="1" applyBorder="1"/>
    <xf numFmtId="2" fontId="0" fillId="3" borderId="20" xfId="0" applyNumberFormat="1" applyFill="1" applyBorder="1"/>
    <xf numFmtId="0" fontId="40" fillId="0" borderId="0" xfId="0" applyFont="1"/>
    <xf numFmtId="0" fontId="3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2" fontId="0" fillId="14" borderId="19" xfId="0" applyNumberFormat="1" applyFill="1" applyBorder="1"/>
    <xf numFmtId="2" fontId="0" fillId="14" borderId="18" xfId="0" applyNumberFormat="1" applyFill="1" applyBorder="1"/>
    <xf numFmtId="2" fontId="0" fillId="14" borderId="17" xfId="0" applyNumberFormat="1" applyFill="1" applyBorder="1"/>
    <xf numFmtId="2" fontId="0" fillId="14" borderId="16" xfId="0" applyNumberFormat="1" applyFill="1" applyBorder="1"/>
    <xf numFmtId="2" fontId="0" fillId="14" borderId="0" xfId="0" applyNumberFormat="1" applyFill="1"/>
    <xf numFmtId="2" fontId="0" fillId="14" borderId="15" xfId="0" applyNumberFormat="1" applyFill="1" applyBorder="1"/>
    <xf numFmtId="2" fontId="0" fillId="14" borderId="21" xfId="0" applyNumberFormat="1" applyFill="1" applyBorder="1"/>
    <xf numFmtId="2" fontId="0" fillId="14" borderId="22" xfId="0" applyNumberFormat="1" applyFill="1" applyBorder="1"/>
    <xf numFmtId="2" fontId="0" fillId="14" borderId="20" xfId="0" applyNumberFormat="1" applyFill="1" applyBorder="1"/>
    <xf numFmtId="0" fontId="0" fillId="0" borderId="14" xfId="0" applyBorder="1" applyAlignment="1">
      <alignment vertical="top"/>
    </xf>
    <xf numFmtId="2" fontId="0" fillId="0" borderId="0" xfId="0" applyNumberFormat="1" applyBorder="1"/>
    <xf numFmtId="164" fontId="0" fillId="0" borderId="0" xfId="0" applyNumberFormat="1" applyBorder="1"/>
    <xf numFmtId="164" fontId="0" fillId="0" borderId="14" xfId="0" applyNumberFormat="1" applyBorder="1"/>
    <xf numFmtId="164" fontId="0" fillId="0" borderId="13" xfId="0" applyNumberFormat="1" applyBorder="1"/>
    <xf numFmtId="164" fontId="0" fillId="0" borderId="12" xfId="0" applyNumberFormat="1" applyBorder="1"/>
    <xf numFmtId="0" fontId="0" fillId="0" borderId="0" xfId="0" applyBorder="1"/>
    <xf numFmtId="2" fontId="0" fillId="15" borderId="19" xfId="0" applyNumberFormat="1" applyFill="1" applyBorder="1"/>
    <xf numFmtId="2" fontId="0" fillId="15" borderId="18" xfId="0" applyNumberFormat="1" applyFill="1" applyBorder="1"/>
    <xf numFmtId="2" fontId="0" fillId="15" borderId="17" xfId="0" applyNumberFormat="1" applyFill="1" applyBorder="1"/>
    <xf numFmtId="2" fontId="0" fillId="15" borderId="16" xfId="0" applyNumberFormat="1" applyFill="1" applyBorder="1"/>
    <xf numFmtId="2" fontId="0" fillId="15" borderId="0" xfId="0" applyNumberFormat="1" applyFill="1" applyBorder="1"/>
    <xf numFmtId="2" fontId="0" fillId="15" borderId="15" xfId="0" applyNumberFormat="1" applyFill="1" applyBorder="1"/>
    <xf numFmtId="2" fontId="0" fillId="15" borderId="21" xfId="0" applyNumberFormat="1" applyFill="1" applyBorder="1"/>
    <xf numFmtId="2" fontId="0" fillId="15" borderId="22" xfId="0" applyNumberFormat="1" applyFill="1" applyBorder="1"/>
    <xf numFmtId="2" fontId="0" fillId="15" borderId="20" xfId="0" applyNumberFormat="1" applyFill="1" applyBorder="1"/>
    <xf numFmtId="0" fontId="41" fillId="0" borderId="0" xfId="0" applyFont="1" applyAlignment="1">
      <alignment horizontal="center"/>
    </xf>
    <xf numFmtId="164" fontId="0" fillId="16" borderId="19" xfId="0" applyNumberFormat="1" applyFill="1" applyBorder="1"/>
    <xf numFmtId="164" fontId="0" fillId="16" borderId="18" xfId="0" applyNumberFormat="1" applyFill="1" applyBorder="1"/>
    <xf numFmtId="164" fontId="0" fillId="16" borderId="17" xfId="0" applyNumberFormat="1" applyFill="1" applyBorder="1"/>
    <xf numFmtId="164" fontId="0" fillId="16" borderId="16" xfId="0" applyNumberFormat="1" applyFill="1" applyBorder="1"/>
    <xf numFmtId="164" fontId="0" fillId="16" borderId="0" xfId="0" applyNumberFormat="1" applyFill="1" applyBorder="1"/>
    <xf numFmtId="164" fontId="0" fillId="16" borderId="15" xfId="0" applyNumberFormat="1" applyFill="1" applyBorder="1"/>
    <xf numFmtId="164" fontId="0" fillId="16" borderId="21" xfId="0" applyNumberFormat="1" applyFill="1" applyBorder="1"/>
    <xf numFmtId="164" fontId="0" fillId="16" borderId="22" xfId="0" applyNumberFormat="1" applyFill="1" applyBorder="1"/>
    <xf numFmtId="164" fontId="0" fillId="16" borderId="20" xfId="0" applyNumberFormat="1" applyFill="1" applyBorder="1"/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7C80"/>
      <color rgb="FF00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40</xdr:row>
      <xdr:rowOff>68580</xdr:rowOff>
    </xdr:from>
    <xdr:to>
      <xdr:col>9</xdr:col>
      <xdr:colOff>556260</xdr:colOff>
      <xdr:row>46</xdr:row>
      <xdr:rowOff>129540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B6BB12A4-6A69-7049-C1FD-0680577D087E}"/>
            </a:ext>
          </a:extLst>
        </xdr:cNvPr>
        <xdr:cNvCxnSpPr/>
      </xdr:nvCxnSpPr>
      <xdr:spPr>
        <a:xfrm flipV="1">
          <a:off x="3970020" y="7772400"/>
          <a:ext cx="1760220" cy="11887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22860</xdr:colOff>
      <xdr:row>40</xdr:row>
      <xdr:rowOff>68580</xdr:rowOff>
    </xdr:from>
    <xdr:to>
      <xdr:col>9</xdr:col>
      <xdr:colOff>548640</xdr:colOff>
      <xdr:row>46</xdr:row>
      <xdr:rowOff>114300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266E2048-ACCF-74B0-D11F-8AE1F7010C80}"/>
            </a:ext>
          </a:extLst>
        </xdr:cNvPr>
        <xdr:cNvCxnSpPr/>
      </xdr:nvCxnSpPr>
      <xdr:spPr>
        <a:xfrm>
          <a:off x="3916680" y="7772400"/>
          <a:ext cx="1805940" cy="117348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655320</xdr:colOff>
      <xdr:row>40</xdr:row>
      <xdr:rowOff>129540</xdr:rowOff>
    </xdr:from>
    <xdr:to>
      <xdr:col>14</xdr:col>
      <xdr:colOff>274320</xdr:colOff>
      <xdr:row>46</xdr:row>
      <xdr:rowOff>114300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969667AD-6346-4052-A8D6-761E35F0F5B5}"/>
            </a:ext>
          </a:extLst>
        </xdr:cNvPr>
        <xdr:cNvCxnSpPr/>
      </xdr:nvCxnSpPr>
      <xdr:spPr>
        <a:xfrm flipV="1">
          <a:off x="6438900" y="783336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762000</xdr:colOff>
      <xdr:row>40</xdr:row>
      <xdr:rowOff>30480</xdr:rowOff>
    </xdr:from>
    <xdr:to>
      <xdr:col>14</xdr:col>
      <xdr:colOff>7620</xdr:colOff>
      <xdr:row>46</xdr:row>
      <xdr:rowOff>152400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C44DB12-2E24-49D3-8842-A7BA02A5A331}"/>
            </a:ext>
          </a:extLst>
        </xdr:cNvPr>
        <xdr:cNvCxnSpPr/>
      </xdr:nvCxnSpPr>
      <xdr:spPr>
        <a:xfrm>
          <a:off x="6545580" y="7734300"/>
          <a:ext cx="1828800" cy="124968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40</xdr:row>
      <xdr:rowOff>30480</xdr:rowOff>
    </xdr:from>
    <xdr:to>
      <xdr:col>18</xdr:col>
      <xdr:colOff>7620</xdr:colOff>
      <xdr:row>46</xdr:row>
      <xdr:rowOff>15240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C90C89DF-43F6-4475-AE4F-1AA3670AEDA1}"/>
            </a:ext>
          </a:extLst>
        </xdr:cNvPr>
        <xdr:cNvCxnSpPr/>
      </xdr:nvCxnSpPr>
      <xdr:spPr>
        <a:xfrm flipV="1">
          <a:off x="8976360" y="773430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548640</xdr:colOff>
      <xdr:row>40</xdr:row>
      <xdr:rowOff>83820</xdr:rowOff>
    </xdr:from>
    <xdr:to>
      <xdr:col>18</xdr:col>
      <xdr:colOff>106680</xdr:colOff>
      <xdr:row>46</xdr:row>
      <xdr:rowOff>114300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9C919B83-76E1-44EE-B9BF-5A018B7A7BB5}"/>
            </a:ext>
          </a:extLst>
        </xdr:cNvPr>
        <xdr:cNvCxnSpPr/>
      </xdr:nvCxnSpPr>
      <xdr:spPr>
        <a:xfrm>
          <a:off x="8915400" y="7787640"/>
          <a:ext cx="2362200" cy="115824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</xdr:col>
      <xdr:colOff>91440</xdr:colOff>
      <xdr:row>40</xdr:row>
      <xdr:rowOff>99060</xdr:rowOff>
    </xdr:from>
    <xdr:to>
      <xdr:col>21</xdr:col>
      <xdr:colOff>876300</xdr:colOff>
      <xdr:row>46</xdr:row>
      <xdr:rowOff>83820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93964B53-531F-4C0A-9555-719D77C70F76}"/>
            </a:ext>
          </a:extLst>
        </xdr:cNvPr>
        <xdr:cNvCxnSpPr/>
      </xdr:nvCxnSpPr>
      <xdr:spPr>
        <a:xfrm flipV="1">
          <a:off x="11871960" y="7802880"/>
          <a:ext cx="2202180" cy="111252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563880</xdr:colOff>
      <xdr:row>40</xdr:row>
      <xdr:rowOff>83820</xdr:rowOff>
    </xdr:from>
    <xdr:to>
      <xdr:col>21</xdr:col>
      <xdr:colOff>914400</xdr:colOff>
      <xdr:row>46</xdr:row>
      <xdr:rowOff>121920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99F9BF4E-3824-4009-922B-390987BAEFA9}"/>
            </a:ext>
          </a:extLst>
        </xdr:cNvPr>
        <xdr:cNvCxnSpPr/>
      </xdr:nvCxnSpPr>
      <xdr:spPr>
        <a:xfrm>
          <a:off x="11734800" y="7787640"/>
          <a:ext cx="2377440" cy="116586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213360</xdr:colOff>
      <xdr:row>0</xdr:row>
      <xdr:rowOff>182880</xdr:rowOff>
    </xdr:from>
    <xdr:to>
      <xdr:col>10</xdr:col>
      <xdr:colOff>38100</xdr:colOff>
      <xdr:row>4</xdr:row>
      <xdr:rowOff>152400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6863AC7-64E9-42FC-AA6B-8CF6C455B382}"/>
            </a:ext>
          </a:extLst>
        </xdr:cNvPr>
        <xdr:cNvCxnSpPr/>
      </xdr:nvCxnSpPr>
      <xdr:spPr>
        <a:xfrm flipV="1">
          <a:off x="3870960" y="182880"/>
          <a:ext cx="1950720" cy="74676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114300</xdr:colOff>
      <xdr:row>0</xdr:row>
      <xdr:rowOff>99060</xdr:rowOff>
    </xdr:from>
    <xdr:to>
      <xdr:col>10</xdr:col>
      <xdr:colOff>30480</xdr:colOff>
      <xdr:row>4</xdr:row>
      <xdr:rowOff>182880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6D2305F8-08A2-4536-8F3D-BDFD265D9C2A}"/>
            </a:ext>
          </a:extLst>
        </xdr:cNvPr>
        <xdr:cNvCxnSpPr/>
      </xdr:nvCxnSpPr>
      <xdr:spPr>
        <a:xfrm>
          <a:off x="3771900" y="99060"/>
          <a:ext cx="2042160" cy="86106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739140</xdr:colOff>
      <xdr:row>0</xdr:row>
      <xdr:rowOff>60960</xdr:rowOff>
    </xdr:from>
    <xdr:to>
      <xdr:col>13</xdr:col>
      <xdr:colOff>563880</xdr:colOff>
      <xdr:row>4</xdr:row>
      <xdr:rowOff>182880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41B047A4-B245-4BEC-9321-61E2304D1825}"/>
            </a:ext>
          </a:extLst>
        </xdr:cNvPr>
        <xdr:cNvCxnSpPr/>
      </xdr:nvCxnSpPr>
      <xdr:spPr>
        <a:xfrm flipV="1">
          <a:off x="6522720" y="60960"/>
          <a:ext cx="1798320" cy="899160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640080</xdr:colOff>
      <xdr:row>0</xdr:row>
      <xdr:rowOff>129540</xdr:rowOff>
    </xdr:from>
    <xdr:to>
      <xdr:col>14</xdr:col>
      <xdr:colOff>22860</xdr:colOff>
      <xdr:row>5</xdr:row>
      <xdr:rowOff>7620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6E8113F4-D48C-499B-AF2D-05714063492B}"/>
            </a:ext>
          </a:extLst>
        </xdr:cNvPr>
        <xdr:cNvCxnSpPr/>
      </xdr:nvCxnSpPr>
      <xdr:spPr>
        <a:xfrm>
          <a:off x="6423660" y="129540"/>
          <a:ext cx="1965960" cy="845820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115839</xdr:colOff>
      <xdr:row>6</xdr:row>
      <xdr:rowOff>118302</xdr:rowOff>
    </xdr:from>
    <xdr:to>
      <xdr:col>10</xdr:col>
      <xdr:colOff>32019</xdr:colOff>
      <xdr:row>11</xdr:row>
      <xdr:rowOff>9698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4EB2EC42-E3B3-4D78-98A8-1E71E4E07B02}"/>
            </a:ext>
          </a:extLst>
        </xdr:cNvPr>
        <xdr:cNvCxnSpPr/>
      </xdr:nvCxnSpPr>
      <xdr:spPr>
        <a:xfrm>
          <a:off x="3752657" y="1340196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566497</xdr:colOff>
      <xdr:row>6</xdr:row>
      <xdr:rowOff>107142</xdr:rowOff>
    </xdr:from>
    <xdr:to>
      <xdr:col>14</xdr:col>
      <xdr:colOff>40101</xdr:colOff>
      <xdr:row>10</xdr:row>
      <xdr:rowOff>200583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28B33AD4-584B-4B69-967F-E3B74B4B4AE1}"/>
            </a:ext>
          </a:extLst>
        </xdr:cNvPr>
        <xdr:cNvCxnSpPr/>
      </xdr:nvCxnSpPr>
      <xdr:spPr>
        <a:xfrm>
          <a:off x="6291118" y="1329036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38485</xdr:colOff>
      <xdr:row>6</xdr:row>
      <xdr:rowOff>19243</xdr:rowOff>
    </xdr:from>
    <xdr:to>
      <xdr:col>9</xdr:col>
      <xdr:colOff>536710</xdr:colOff>
      <xdr:row>10</xdr:row>
      <xdr:rowOff>150784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A07654F7-1379-475E-8D71-BFBF78995769}"/>
            </a:ext>
          </a:extLst>
        </xdr:cNvPr>
        <xdr:cNvCxnSpPr/>
      </xdr:nvCxnSpPr>
      <xdr:spPr>
        <a:xfrm flipV="1">
          <a:off x="3906212" y="1241137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748915</xdr:colOff>
      <xdr:row>6</xdr:row>
      <xdr:rowOff>36946</xdr:rowOff>
    </xdr:from>
    <xdr:to>
      <xdr:col>13</xdr:col>
      <xdr:colOff>573655</xdr:colOff>
      <xdr:row>10</xdr:row>
      <xdr:rowOff>168487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2C5C8EE3-D1B7-4C8F-842B-2156BDA6F180}"/>
            </a:ext>
          </a:extLst>
        </xdr:cNvPr>
        <xdr:cNvCxnSpPr/>
      </xdr:nvCxnSpPr>
      <xdr:spPr>
        <a:xfrm flipV="1">
          <a:off x="6473536" y="1258840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83897</xdr:colOff>
      <xdr:row>12</xdr:row>
      <xdr:rowOff>134466</xdr:rowOff>
    </xdr:from>
    <xdr:to>
      <xdr:col>10</xdr:col>
      <xdr:colOff>77</xdr:colOff>
      <xdr:row>17</xdr:row>
      <xdr:rowOff>25862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A9F432AC-2AEC-4BB6-94E4-60D22FA536E0}"/>
            </a:ext>
          </a:extLst>
        </xdr:cNvPr>
        <xdr:cNvCxnSpPr/>
      </xdr:nvCxnSpPr>
      <xdr:spPr>
        <a:xfrm>
          <a:off x="3720715" y="2568633"/>
          <a:ext cx="2003983" cy="901623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35406</xdr:colOff>
      <xdr:row>12</xdr:row>
      <xdr:rowOff>64270</xdr:rowOff>
    </xdr:from>
    <xdr:to>
      <xdr:col>9</xdr:col>
      <xdr:colOff>533631</xdr:colOff>
      <xdr:row>16</xdr:row>
      <xdr:rowOff>195812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2A203E38-8888-495A-8D3D-2AA2386F0AD5}"/>
            </a:ext>
          </a:extLst>
        </xdr:cNvPr>
        <xdr:cNvCxnSpPr/>
      </xdr:nvCxnSpPr>
      <xdr:spPr>
        <a:xfrm flipV="1">
          <a:off x="3903133" y="2498437"/>
          <a:ext cx="1748983" cy="939723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519545</xdr:colOff>
      <xdr:row>19</xdr:row>
      <xdr:rowOff>153939</xdr:rowOff>
    </xdr:from>
    <xdr:to>
      <xdr:col>11</xdr:col>
      <xdr:colOff>538788</xdr:colOff>
      <xdr:row>23</xdr:row>
      <xdr:rowOff>182803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CA1755D7-EE57-4B31-9A36-9E9C42904C88}"/>
            </a:ext>
          </a:extLst>
        </xdr:cNvPr>
        <xdr:cNvCxnSpPr/>
      </xdr:nvCxnSpPr>
      <xdr:spPr>
        <a:xfrm>
          <a:off x="5638030" y="4002424"/>
          <a:ext cx="1375834" cy="837046"/>
        </a:xfrm>
        <a:prstGeom prst="line">
          <a:avLst/>
        </a:prstGeom>
        <a:ln w="38100"/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437957</xdr:colOff>
      <xdr:row>18</xdr:row>
      <xdr:rowOff>182803</xdr:rowOff>
    </xdr:from>
    <xdr:to>
      <xdr:col>12</xdr:col>
      <xdr:colOff>76970</xdr:colOff>
      <xdr:row>24</xdr:row>
      <xdr:rowOff>30711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4A0CE274-0D9C-4747-8A31-51CB54F8F37C}"/>
            </a:ext>
          </a:extLst>
        </xdr:cNvPr>
        <xdr:cNvCxnSpPr/>
      </xdr:nvCxnSpPr>
      <xdr:spPr>
        <a:xfrm flipV="1">
          <a:off x="5556442" y="3829242"/>
          <a:ext cx="1563255" cy="1060181"/>
        </a:xfrm>
        <a:prstGeom prst="line">
          <a:avLst/>
        </a:prstGeom>
        <a:ln w="38100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133092</xdr:colOff>
      <xdr:row>1</xdr:row>
      <xdr:rowOff>26670</xdr:rowOff>
    </xdr:from>
    <xdr:ext cx="31701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E58CF5-95E3-1422-03B9-4EBDC25236F3}"/>
                </a:ext>
              </a:extLst>
            </xdr:cNvPr>
            <xdr:cNvSpPr txBox="1"/>
          </xdr:nvSpPr>
          <xdr:spPr>
            <a:xfrm>
              <a:off x="1959473" y="208099"/>
              <a:ext cx="31701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E58CF5-95E3-1422-03B9-4EBDC25236F3}"/>
                </a:ext>
              </a:extLst>
            </xdr:cNvPr>
            <xdr:cNvSpPr txBox="1"/>
          </xdr:nvSpPr>
          <xdr:spPr>
            <a:xfrm>
              <a:off x="1959473" y="208099"/>
              <a:ext cx="31701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1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129018</xdr:colOff>
      <xdr:row>2</xdr:row>
      <xdr:rowOff>0</xdr:rowOff>
    </xdr:from>
    <xdr:ext cx="3202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D9C0E0A5-F54A-412D-8180-0EF6FF2D6EB7}"/>
                </a:ext>
              </a:extLst>
            </xdr:cNvPr>
            <xdr:cNvSpPr txBox="1"/>
          </xdr:nvSpPr>
          <xdr:spPr>
            <a:xfrm>
              <a:off x="1955399" y="387048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D9C0E0A5-F54A-412D-8180-0EF6FF2D6EB7}"/>
                </a:ext>
              </a:extLst>
            </xdr:cNvPr>
            <xdr:cNvSpPr txBox="1"/>
          </xdr:nvSpPr>
          <xdr:spPr>
            <a:xfrm>
              <a:off x="1955399" y="387048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2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134219</xdr:colOff>
      <xdr:row>2</xdr:row>
      <xdr:rowOff>204168</xdr:rowOff>
    </xdr:from>
    <xdr:ext cx="326820" cy="18229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880FA789-88E9-44BB-A2A9-83BCC4BFFB93}"/>
                </a:ext>
              </a:extLst>
            </xdr:cNvPr>
            <xdr:cNvSpPr txBox="1"/>
          </xdr:nvSpPr>
          <xdr:spPr>
            <a:xfrm>
              <a:off x="1963019" y="592788"/>
              <a:ext cx="326820" cy="1822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𝑝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880FA789-88E9-44BB-A2A9-83BCC4BFFB93}"/>
                </a:ext>
              </a:extLst>
            </xdr:cNvPr>
            <xdr:cNvSpPr txBox="1"/>
          </xdr:nvSpPr>
          <xdr:spPr>
            <a:xfrm>
              <a:off x="1963019" y="592788"/>
              <a:ext cx="326820" cy="18229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</a:rPr>
                <a:t>𝑝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129540</xdr:colOff>
      <xdr:row>4</xdr:row>
      <xdr:rowOff>0</xdr:rowOff>
    </xdr:from>
    <xdr:ext cx="355867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A1D3718B-1941-4F05-9B94-79723E1B22BD}"/>
                </a:ext>
              </a:extLst>
            </xdr:cNvPr>
            <xdr:cNvSpPr txBox="1"/>
          </xdr:nvSpPr>
          <xdr:spPr>
            <a:xfrm>
              <a:off x="1958340" y="800100"/>
              <a:ext cx="355867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∞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A1D3718B-1941-4F05-9B94-79723E1B22BD}"/>
                </a:ext>
              </a:extLst>
            </xdr:cNvPr>
            <xdr:cNvSpPr txBox="1"/>
          </xdr:nvSpPr>
          <xdr:spPr>
            <a:xfrm>
              <a:off x="1958340" y="800100"/>
              <a:ext cx="355867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∞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137160</xdr:colOff>
      <xdr:row>5</xdr:row>
      <xdr:rowOff>0</xdr:rowOff>
    </xdr:from>
    <xdr:ext cx="3202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114A17C-A9CA-40DC-A6B5-8E839141D720}"/>
                </a:ext>
              </a:extLst>
            </xdr:cNvPr>
            <xdr:cNvSpPr txBox="1"/>
          </xdr:nvSpPr>
          <xdr:spPr>
            <a:xfrm>
              <a:off x="1965960" y="982980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0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3114A17C-A9CA-40DC-A6B5-8E839141D720}"/>
                </a:ext>
              </a:extLst>
            </xdr:cNvPr>
            <xdr:cNvSpPr txBox="1"/>
          </xdr:nvSpPr>
          <xdr:spPr>
            <a:xfrm>
              <a:off x="1965960" y="982980"/>
              <a:ext cx="3202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0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137160</xdr:colOff>
      <xdr:row>6</xdr:row>
      <xdr:rowOff>0</xdr:rowOff>
    </xdr:from>
    <xdr:ext cx="363689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F2503B6-D3CB-43C3-B9C3-FE5F03B0E2FA}"/>
                </a:ext>
              </a:extLst>
            </xdr:cNvPr>
            <xdr:cNvSpPr txBox="1"/>
          </xdr:nvSpPr>
          <xdr:spPr>
            <a:xfrm>
              <a:off x="1965960" y="1188720"/>
              <a:ext cx="363689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𝑊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F2503B6-D3CB-43C3-B9C3-FE5F03B0E2FA}"/>
                </a:ext>
              </a:extLst>
            </xdr:cNvPr>
            <xdr:cNvSpPr txBox="1"/>
          </xdr:nvSpPr>
          <xdr:spPr>
            <a:xfrm>
              <a:off x="1965960" y="1188720"/>
              <a:ext cx="363689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𝑊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3</xdr:col>
      <xdr:colOff>129540</xdr:colOff>
      <xdr:row>7</xdr:row>
      <xdr:rowOff>0</xdr:rowOff>
    </xdr:from>
    <xdr:ext cx="328680" cy="1737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C13B171-7E71-46AD-9A4E-6ED62A436D2E}"/>
                </a:ext>
              </a:extLst>
            </xdr:cNvPr>
            <xdr:cNvSpPr txBox="1"/>
          </xdr:nvSpPr>
          <xdr:spPr>
            <a:xfrm>
              <a:off x="1958340" y="1371600"/>
              <a:ext cx="3286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𝐹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C13B171-7E71-46AD-9A4E-6ED62A436D2E}"/>
                </a:ext>
              </a:extLst>
            </xdr:cNvPr>
            <xdr:cNvSpPr txBox="1"/>
          </xdr:nvSpPr>
          <xdr:spPr>
            <a:xfrm>
              <a:off x="1958340" y="1371600"/>
              <a:ext cx="328680" cy="17376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𝐹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14</xdr:col>
      <xdr:colOff>121920</xdr:colOff>
      <xdr:row>6</xdr:row>
      <xdr:rowOff>0</xdr:rowOff>
    </xdr:from>
    <xdr:ext cx="1020536" cy="21954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866C9BE2-3506-4F23-BF44-83B043CD87F3}"/>
                </a:ext>
              </a:extLst>
            </xdr:cNvPr>
            <xdr:cNvSpPr txBox="1"/>
          </xdr:nvSpPr>
          <xdr:spPr>
            <a:xfrm>
              <a:off x="8656320" y="1188720"/>
              <a:ext cx="1020536" cy="2195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d>
                          <m:dPr>
                            <m:begChr m:val="‖"/>
                            <m:endChr m:val="‖"/>
                            <m:ctrlP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GB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𝑊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𝑇</m:t>
                            </m:r>
                          </m:sup>
                        </m:s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𝑊𝑥</m:t>
                        </m:r>
                      </m:e>
                    </m:rad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866C9BE2-3506-4F23-BF44-83B043CD87F3}"/>
                </a:ext>
              </a:extLst>
            </xdr:cNvPr>
            <xdr:cNvSpPr txBox="1"/>
          </xdr:nvSpPr>
          <xdr:spPr>
            <a:xfrm>
              <a:off x="8656320" y="1188720"/>
              <a:ext cx="1020536" cy="2195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‖𝑥‖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𝑊</a:t>
              </a:r>
              <a:r>
                <a:rPr lang="en-GB" sz="1100" b="0" i="0">
                  <a:latin typeface="Cambria Math" panose="02040503050406030204" pitchFamily="18" charset="0"/>
                </a:rPr>
                <a:t>=√(𝑥^𝑇 𝑊𝑥)</a:t>
              </a:r>
              <a:endParaRPr lang="en-GB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5</xdr:row>
      <xdr:rowOff>121920</xdr:rowOff>
    </xdr:from>
    <xdr:to>
      <xdr:col>5</xdr:col>
      <xdr:colOff>106680</xdr:colOff>
      <xdr:row>7</xdr:row>
      <xdr:rowOff>53340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983EE136-500B-16A0-E444-878A1E00BFFB}"/>
            </a:ext>
          </a:extLst>
        </xdr:cNvPr>
        <xdr:cNvSpPr/>
      </xdr:nvSpPr>
      <xdr:spPr>
        <a:xfrm>
          <a:off x="2796540" y="1074420"/>
          <a:ext cx="373380" cy="3048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403860</xdr:colOff>
      <xdr:row>12</xdr:row>
      <xdr:rowOff>91440</xdr:rowOff>
    </xdr:from>
    <xdr:to>
      <xdr:col>6</xdr:col>
      <xdr:colOff>693420</xdr:colOff>
      <xdr:row>15</xdr:row>
      <xdr:rowOff>167640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B31130-5278-AD78-CAE5-CBF965EF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4680" y="2346960"/>
          <a:ext cx="1089660" cy="662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594360</xdr:colOff>
      <xdr:row>14</xdr:row>
      <xdr:rowOff>114300</xdr:rowOff>
    </xdr:from>
    <xdr:to>
      <xdr:col>11</xdr:col>
      <xdr:colOff>601980</xdr:colOff>
      <xdr:row>18</xdr:row>
      <xdr:rowOff>22860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5732EB-4AD5-C1E9-BBBC-6DA02FD1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2220" y="2743200"/>
          <a:ext cx="1226820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1</xdr:row>
      <xdr:rowOff>53340</xdr:rowOff>
    </xdr:from>
    <xdr:to>
      <xdr:col>7</xdr:col>
      <xdr:colOff>495300</xdr:colOff>
      <xdr:row>2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831118E-1F0C-CFAD-5DBB-D070A9D22D72}"/>
            </a:ext>
          </a:extLst>
        </xdr:cNvPr>
        <xdr:cNvSpPr txBox="1"/>
      </xdr:nvSpPr>
      <xdr:spPr>
        <a:xfrm>
          <a:off x="3573780" y="236220"/>
          <a:ext cx="381000" cy="28956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3  ·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764069</xdr:colOff>
      <xdr:row>9</xdr:row>
      <xdr:rowOff>192574</xdr:rowOff>
    </xdr:from>
    <xdr:to>
      <xdr:col>21</xdr:col>
      <xdr:colOff>385141</xdr:colOff>
      <xdr:row>10</xdr:row>
      <xdr:rowOff>254690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9C1F8EC-5C94-9DE1-6F82-A17D7E01F0DA}"/>
            </a:ext>
          </a:extLst>
        </xdr:cNvPr>
        <xdr:cNvSpPr/>
      </xdr:nvSpPr>
      <xdr:spPr>
        <a:xfrm>
          <a:off x="11583227" y="1973335"/>
          <a:ext cx="2250800" cy="258828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73290</xdr:colOff>
      <xdr:row>2</xdr:row>
      <xdr:rowOff>177800</xdr:rowOff>
    </xdr:from>
    <xdr:ext cx="462114" cy="32021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6774C75-5EDD-4C61-81BB-E07A1B6A9000}"/>
                </a:ext>
              </a:extLst>
            </xdr:cNvPr>
            <xdr:cNvSpPr txBox="1"/>
          </xdr:nvSpPr>
          <xdr:spPr>
            <a:xfrm>
              <a:off x="4371446" y="606425"/>
              <a:ext cx="462114" cy="3202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num>
                      <m:den>
                        <m:acc>
                          <m:accPr>
                            <m:chr m:val="̅"/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acc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𝑋</m:t>
                            </m:r>
                          </m:e>
                        </m:acc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6774C75-5EDD-4C61-81BB-E07A1B6A9000}"/>
                </a:ext>
              </a:extLst>
            </xdr:cNvPr>
            <xdr:cNvSpPr txBox="1"/>
          </xdr:nvSpPr>
          <xdr:spPr>
            <a:xfrm>
              <a:off x="4371446" y="606425"/>
              <a:ext cx="462114" cy="3202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𝑋_𝐶=𝑋/𝑋 ̅ 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14</xdr:col>
      <xdr:colOff>50013</xdr:colOff>
      <xdr:row>3</xdr:row>
      <xdr:rowOff>9525</xdr:rowOff>
    </xdr:from>
    <xdr:ext cx="1143133" cy="52745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F1C513B6-896D-4BB1-8B80-73938514E070}"/>
                </a:ext>
              </a:extLst>
            </xdr:cNvPr>
            <xdr:cNvSpPr txBox="1"/>
          </xdr:nvSpPr>
          <xdr:spPr>
            <a:xfrm>
              <a:off x="8584413" y="628650"/>
              <a:ext cx="1143133" cy="52745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,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𝑆𝐶𝐿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𝑋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𝐶</m:t>
                            </m:r>
                          </m:sub>
                        </m:sSub>
                      </m:num>
                      <m:den>
                        <m:rad>
                          <m:radPr>
                            <m:degHide m:val="on"/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f>
                              <m:fPr>
                                <m:ctrlP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1</m:t>
                                </m:r>
                              </m:num>
                              <m:den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(</m:t>
                                </m:r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𝑁</m:t>
                                </m:r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−1)</m:t>
                                </m:r>
                              </m:den>
                            </m:f>
                          </m:e>
                        </m:rad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F1C513B6-896D-4BB1-8B80-73938514E070}"/>
                </a:ext>
              </a:extLst>
            </xdr:cNvPr>
            <xdr:cNvSpPr txBox="1"/>
          </xdr:nvSpPr>
          <xdr:spPr>
            <a:xfrm>
              <a:off x="8584413" y="628650"/>
              <a:ext cx="1143133" cy="52745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𝑋_(𝐶,𝑆𝐶𝐿)=𝑋_𝐶/√(1/((𝑁−1)))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7</xdr:col>
      <xdr:colOff>11910</xdr:colOff>
      <xdr:row>3</xdr:row>
      <xdr:rowOff>69056</xdr:rowOff>
    </xdr:from>
    <xdr:ext cx="1051378" cy="4855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2CF307B4-7EF3-4F7B-93F9-B3B2722741F9}"/>
                </a:ext>
              </a:extLst>
            </xdr:cNvPr>
            <xdr:cNvSpPr txBox="1"/>
          </xdr:nvSpPr>
          <xdr:spPr>
            <a:xfrm>
              <a:off x="4262441" y="688181"/>
              <a:ext cx="1051378" cy="4855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,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𝑆𝐶𝐿</m:t>
                        </m:r>
                      </m:sub>
                    </m:sSub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𝑋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𝐶</m:t>
                            </m:r>
                          </m:sub>
                        </m:sSub>
                      </m:num>
                      <m:den>
                        <m:f>
                          <m:f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num>
                          <m:den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(</m:t>
                            </m:r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𝑁</m:t>
                            </m:r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−1)</m:t>
                            </m:r>
                          </m:den>
                        </m:f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2CF307B4-7EF3-4F7B-93F9-B3B2722741F9}"/>
                </a:ext>
              </a:extLst>
            </xdr:cNvPr>
            <xdr:cNvSpPr txBox="1"/>
          </xdr:nvSpPr>
          <xdr:spPr>
            <a:xfrm>
              <a:off x="4262441" y="688181"/>
              <a:ext cx="1051378" cy="4855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𝑋_(𝐶,𝑆𝐶𝐿)=𝑋_𝐶/(1/((𝑁−1)))</a:t>
              </a:r>
              <a:endParaRPr lang="en-GB" sz="1100"/>
            </a:p>
          </xdr:txBody>
        </xdr:sp>
      </mc:Fallback>
    </mc:AlternateContent>
    <xdr:clientData/>
  </xdr:oneCellAnchor>
  <xdr:twoCellAnchor>
    <xdr:from>
      <xdr:col>28</xdr:col>
      <xdr:colOff>559592</xdr:colOff>
      <xdr:row>42</xdr:row>
      <xdr:rowOff>130974</xdr:rowOff>
    </xdr:from>
    <xdr:to>
      <xdr:col>33</xdr:col>
      <xdr:colOff>607218</xdr:colOff>
      <xdr:row>45</xdr:row>
      <xdr:rowOff>70121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28912602-3CF3-4362-8C6A-A55C06F74E55}"/>
            </a:ext>
          </a:extLst>
        </xdr:cNvPr>
        <xdr:cNvSpPr/>
      </xdr:nvSpPr>
      <xdr:spPr>
        <a:xfrm>
          <a:off x="17757509" y="8576474"/>
          <a:ext cx="3063876" cy="61648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oneCellAnchor>
    <xdr:from>
      <xdr:col>23</xdr:col>
      <xdr:colOff>116417</xdr:colOff>
      <xdr:row>10</xdr:row>
      <xdr:rowOff>21166</xdr:rowOff>
    </xdr:from>
    <xdr:ext cx="353815" cy="1804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28F6B80-7C02-4B5B-B6BE-92A04902438C}"/>
                </a:ext>
              </a:extLst>
            </xdr:cNvPr>
            <xdr:cNvSpPr txBox="1"/>
          </xdr:nvSpPr>
          <xdr:spPr>
            <a:xfrm>
              <a:off x="14245167" y="2021416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  <m: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𝑇</m:t>
                        </m:r>
                      </m:sup>
                    </m:sSubSup>
                    <m:sSub>
                      <m:sSub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F28F6B80-7C02-4B5B-B6BE-92A04902438C}"/>
                </a:ext>
              </a:extLst>
            </xdr:cNvPr>
            <xdr:cNvSpPr txBox="1"/>
          </xdr:nvSpPr>
          <xdr:spPr>
            <a:xfrm>
              <a:off x="14245167" y="2021416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𝑋_𝐶^𝑇 𝑋_𝐶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29</xdr:col>
      <xdr:colOff>0</xdr:colOff>
      <xdr:row>10</xdr:row>
      <xdr:rowOff>31749</xdr:rowOff>
    </xdr:from>
    <xdr:ext cx="353815" cy="1804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E0AE9E3-E1D7-4913-95CF-7D237FDFCEBC}"/>
                </a:ext>
              </a:extLst>
            </xdr:cNvPr>
            <xdr:cNvSpPr txBox="1"/>
          </xdr:nvSpPr>
          <xdr:spPr>
            <a:xfrm>
              <a:off x="17758833" y="2031999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  <m:sup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𝑇</m:t>
                        </m:r>
                      </m:sup>
                    </m:sSubSup>
                    <m:sSub>
                      <m:sSub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𝑋</m:t>
                        </m:r>
                      </m:e>
                      <m:sub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𝐶</m:t>
                        </m:r>
                      </m:sub>
                    </m:sSub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E0AE9E3-E1D7-4913-95CF-7D237FDFCEBC}"/>
                </a:ext>
              </a:extLst>
            </xdr:cNvPr>
            <xdr:cNvSpPr txBox="1"/>
          </xdr:nvSpPr>
          <xdr:spPr>
            <a:xfrm>
              <a:off x="17758833" y="2031999"/>
              <a:ext cx="353815" cy="1804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GB" sz="1100" b="0" i="0">
                  <a:latin typeface="Cambria Math" panose="02040503050406030204" pitchFamily="18" charset="0"/>
                </a:rPr>
                <a:t>𝑋_𝐶^𝑇 𝑋_𝐶</a:t>
              </a:r>
              <a:endParaRPr lang="en-GB" sz="1100"/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ank\AppData\Roaming\Microsoft\AddIns\XRealStats.xlam" TargetMode="External"/><Relationship Id="rId1" Type="http://schemas.openxmlformats.org/officeDocument/2006/relationships/externalLinkPath" Target="file:///C:\Users\brank\AppData\Roaming\Microsoft\AddIns\XRealStat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AD2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Dunnett 1"/>
      <sheetName val="Kendall Tc"/>
      <sheetName val="Kendall u"/>
      <sheetName val="Page Table"/>
      <sheetName val="Prime"/>
      <sheetName val="MSSD"/>
      <sheetName val="Dict"/>
      <sheetName val="ADict"/>
      <sheetName val="L4 2"/>
      <sheetName val="L8 2"/>
      <sheetName val="L8 42"/>
      <sheetName val="L9 3"/>
      <sheetName val="L12 2"/>
      <sheetName val="L16 2"/>
      <sheetName val="L16 4"/>
      <sheetName val="L16 42a"/>
      <sheetName val="L18 23"/>
      <sheetName val="L18 63"/>
      <sheetName val="L25 5"/>
      <sheetName val="L27 3"/>
      <sheetName val="L32 2"/>
      <sheetName val="L32 24"/>
      <sheetName val="L36 23a"/>
      <sheetName val="L36 23b"/>
      <sheetName val="L50 25"/>
      <sheetName val="L54 23"/>
      <sheetName val="L64 4"/>
      <sheetName val="T2"/>
      <sheetName val="T3"/>
      <sheetName val="T4"/>
    </sheetNames>
    <definedNames>
      <definedName name="eigVALSym"/>
      <definedName name="eigVECTSym"/>
      <definedName name="SPECTRAL"/>
      <definedName name="SVD_D"/>
      <definedName name="SVD_U"/>
      <definedName name="SVD_V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andreaminini.net/math/matrices" TargetMode="External"/><Relationship Id="rId1" Type="http://schemas.openxmlformats.org/officeDocument/2006/relationships/hyperlink" Target="https://www.mathsisfun.com/algebra/matrix-determinant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6C2D1-5324-4927-AECF-6640506594DB}">
  <dimension ref="A1:AF56"/>
  <sheetViews>
    <sheetView zoomScale="99" zoomScaleNormal="99" workbookViewId="0">
      <selection activeCell="O14" sqref="O14"/>
    </sheetView>
  </sheetViews>
  <sheetFormatPr defaultRowHeight="15" x14ac:dyDescent="0.25"/>
  <cols>
    <col min="7" max="7" width="3.42578125" customWidth="1"/>
    <col min="9" max="9" width="9.7109375" customWidth="1"/>
    <col min="11" max="11" width="11.28515625" customWidth="1"/>
    <col min="12" max="12" width="8.5703125" customWidth="1"/>
    <col min="16" max="16" width="12" bestFit="1" customWidth="1"/>
    <col min="17" max="17" width="11.140625" customWidth="1"/>
    <col min="20" max="20" width="11.7109375" customWidth="1"/>
    <col min="22" max="22" width="13.5703125" customWidth="1"/>
    <col min="23" max="23" width="8.140625" customWidth="1"/>
  </cols>
  <sheetData>
    <row r="1" spans="1:32" ht="16.5" thickBot="1" x14ac:dyDescent="0.3">
      <c r="A1" t="s">
        <v>68</v>
      </c>
      <c r="C1" t="s">
        <v>10</v>
      </c>
      <c r="E1" t="s">
        <v>67</v>
      </c>
      <c r="H1" s="46" t="s">
        <v>66</v>
      </c>
      <c r="I1" s="45"/>
      <c r="J1" s="44"/>
      <c r="L1" s="46" t="s">
        <v>65</v>
      </c>
      <c r="M1" s="45"/>
      <c r="N1" s="44"/>
      <c r="P1" s="46" t="s">
        <v>139</v>
      </c>
      <c r="Q1" s="44"/>
      <c r="S1" s="46" t="s">
        <v>64</v>
      </c>
      <c r="T1" s="44"/>
      <c r="U1" s="60" t="s">
        <v>63</v>
      </c>
      <c r="V1" s="46" t="s">
        <v>62</v>
      </c>
      <c r="W1" s="45"/>
      <c r="X1" s="44"/>
      <c r="Z1" s="46" t="s">
        <v>74</v>
      </c>
      <c r="AA1" s="45"/>
      <c r="AB1" s="44"/>
      <c r="AD1" s="46" t="s">
        <v>75</v>
      </c>
      <c r="AE1" s="45"/>
      <c r="AF1" s="44"/>
    </row>
    <row r="2" spans="1:32" ht="15.75" thickBot="1" x14ac:dyDescent="0.3">
      <c r="A2" s="59">
        <v>2</v>
      </c>
      <c r="B2" s="59">
        <v>4</v>
      </c>
      <c r="C2" s="59">
        <v>3</v>
      </c>
      <c r="E2" s="58">
        <v>10</v>
      </c>
      <c r="H2" s="48" cm="1">
        <f t="array" ref="H2:J4">(A2:C3)+(A6:B8)</f>
        <v>7</v>
      </c>
      <c r="I2">
        <v>12</v>
      </c>
      <c r="J2" s="47" t="e">
        <v>#N/A</v>
      </c>
      <c r="L2" s="48" cm="1">
        <f t="array" ref="L2:N4">A6:B8+A2:C3</f>
        <v>7</v>
      </c>
      <c r="M2">
        <v>12</v>
      </c>
      <c r="N2" s="47" t="e">
        <v>#N/A</v>
      </c>
      <c r="P2" s="51" cm="1">
        <f t="array" ref="P2:Q4">A6:B8+E9:F11</f>
        <v>15</v>
      </c>
      <c r="Q2" s="49">
        <v>28</v>
      </c>
      <c r="S2" s="48" cm="1">
        <f t="array" ref="S2:T3">MMULT(A2:C3,A6:B8)</f>
        <v>83</v>
      </c>
      <c r="T2" s="47">
        <v>88</v>
      </c>
      <c r="V2" s="48" cm="1">
        <f t="array" ref="V2:X4">MMULT(A6:B8,A2:C3)</f>
        <v>18</v>
      </c>
      <c r="W2">
        <v>76</v>
      </c>
      <c r="X2" s="47">
        <v>63</v>
      </c>
      <c r="Z2" s="51" cm="1">
        <f t="array" ref="Z2:AB3">MMULT(A2:C3,A11:C13)</f>
        <v>39</v>
      </c>
      <c r="AA2" s="50">
        <v>48</v>
      </c>
      <c r="AB2" s="49">
        <v>57</v>
      </c>
      <c r="AD2" s="46" t="e" cm="1">
        <f t="array" ref="AD2">MMULT(A11:C13,A2:C3)</f>
        <v>#VALUE!</v>
      </c>
      <c r="AE2" s="45"/>
      <c r="AF2" s="44"/>
    </row>
    <row r="3" spans="1:32" ht="15.75" thickBot="1" x14ac:dyDescent="0.3">
      <c r="A3" s="59">
        <v>1</v>
      </c>
      <c r="B3" s="59">
        <v>7</v>
      </c>
      <c r="C3" s="59">
        <v>6</v>
      </c>
      <c r="E3" s="58">
        <v>20</v>
      </c>
      <c r="H3" s="48">
        <v>11</v>
      </c>
      <c r="I3">
        <v>16</v>
      </c>
      <c r="J3" s="47" t="e">
        <v>#N/A</v>
      </c>
      <c r="L3" s="48">
        <v>11</v>
      </c>
      <c r="M3">
        <v>16</v>
      </c>
      <c r="N3" s="47" t="e">
        <v>#N/A</v>
      </c>
      <c r="P3" s="48">
        <v>40</v>
      </c>
      <c r="Q3" s="47">
        <v>49</v>
      </c>
      <c r="S3" s="48">
        <v>141</v>
      </c>
      <c r="T3" s="47">
        <v>143</v>
      </c>
      <c r="V3" s="48">
        <v>29</v>
      </c>
      <c r="W3">
        <v>103</v>
      </c>
      <c r="X3" s="47">
        <v>84</v>
      </c>
      <c r="Z3" s="53">
        <v>71</v>
      </c>
      <c r="AA3" s="56">
        <v>85</v>
      </c>
      <c r="AB3" s="52">
        <v>99</v>
      </c>
      <c r="AD3" s="46" t="str">
        <f ca="1">_xlfn.FORMULATEXT(AD2)</f>
        <v>=MMULT(A11:C13,A2:C3)</v>
      </c>
      <c r="AE3" s="45"/>
      <c r="AF3" s="44"/>
    </row>
    <row r="4" spans="1:32" ht="15.75" thickBot="1" x14ac:dyDescent="0.3">
      <c r="E4" s="58">
        <v>30</v>
      </c>
      <c r="H4" s="48" t="e">
        <v>#N/A</v>
      </c>
      <c r="I4" t="e">
        <v>#N/A</v>
      </c>
      <c r="J4" s="47" t="e">
        <v>#N/A</v>
      </c>
      <c r="L4" s="48" t="e">
        <v>#N/A</v>
      </c>
      <c r="M4" t="e">
        <v>#N/A</v>
      </c>
      <c r="N4" s="47" t="e">
        <v>#N/A</v>
      </c>
      <c r="P4" s="53">
        <v>61</v>
      </c>
      <c r="Q4" s="52">
        <v>72</v>
      </c>
      <c r="S4" s="46" t="str">
        <f ca="1">_xlfn.FORMULATEXT(S2)</f>
        <v>=MMULT(A2:C3,A6:B8)</v>
      </c>
      <c r="T4" s="44"/>
      <c r="V4" s="48">
        <v>34</v>
      </c>
      <c r="W4">
        <v>128</v>
      </c>
      <c r="X4" s="47">
        <v>105</v>
      </c>
      <c r="Z4" s="46" t="str">
        <f ca="1">_xlfn.FORMULATEXT(Z2)</f>
        <v>=MMULT(A2:C3,A11:C13)</v>
      </c>
      <c r="AA4" s="45"/>
      <c r="AB4" s="44"/>
    </row>
    <row r="5" spans="1:32" ht="15.75" thickBot="1" x14ac:dyDescent="0.3">
      <c r="A5" t="s">
        <v>61</v>
      </c>
      <c r="D5" t="s">
        <v>60</v>
      </c>
      <c r="H5" s="46" t="str">
        <f ca="1">_xlfn.FORMULATEXT(H2)</f>
        <v>=(A2:C3)+(A6:B8)</v>
      </c>
      <c r="I5" s="45"/>
      <c r="J5" s="44"/>
      <c r="L5" s="46" t="str">
        <f ca="1">_xlfn.FORMULATEXT(L2)</f>
        <v>=A6:B8+A2:C3</v>
      </c>
      <c r="M5" s="45"/>
      <c r="N5" s="44"/>
      <c r="P5" s="46" t="str">
        <f ca="1">_xlfn.FORMULATEXT(P2)</f>
        <v>=A6:B8+E9:F11</v>
      </c>
      <c r="Q5" s="44"/>
      <c r="V5" s="46" t="str">
        <f ca="1">_xlfn.FORMULATEXT(V2)</f>
        <v>=MMULT(A6:B8,A2:C3)</v>
      </c>
      <c r="W5" s="45"/>
      <c r="X5" s="44"/>
    </row>
    <row r="6" spans="1:32" ht="15.75" thickBot="1" x14ac:dyDescent="0.3">
      <c r="A6" s="57">
        <v>5</v>
      </c>
      <c r="B6" s="57">
        <v>8</v>
      </c>
      <c r="D6" s="58">
        <v>10</v>
      </c>
      <c r="E6" s="58">
        <v>20</v>
      </c>
      <c r="F6" s="58">
        <v>30</v>
      </c>
      <c r="Z6" s="46" t="s">
        <v>76</v>
      </c>
      <c r="AA6" s="45"/>
      <c r="AB6" s="44"/>
      <c r="AD6" s="46" t="s">
        <v>75</v>
      </c>
      <c r="AE6" s="45"/>
      <c r="AF6" s="44"/>
    </row>
    <row r="7" spans="1:32" ht="15.75" thickBot="1" x14ac:dyDescent="0.3">
      <c r="A7" s="57">
        <v>10</v>
      </c>
      <c r="B7" s="57">
        <v>9</v>
      </c>
      <c r="H7" s="46" t="s">
        <v>59</v>
      </c>
      <c r="I7" s="45"/>
      <c r="J7" s="44"/>
      <c r="L7" s="46" t="s">
        <v>58</v>
      </c>
      <c r="M7" s="45"/>
      <c r="N7" s="44"/>
      <c r="S7" s="46" t="s">
        <v>57</v>
      </c>
      <c r="T7" s="44"/>
      <c r="V7" s="46" t="s">
        <v>56</v>
      </c>
      <c r="W7" s="45"/>
      <c r="X7" s="44"/>
      <c r="Z7" s="46" t="e" cm="1">
        <f t="array" ref="Z7">MMULT(A6:B8,A11:C13)</f>
        <v>#VALUE!</v>
      </c>
      <c r="AA7" s="45"/>
      <c r="AB7" s="44"/>
      <c r="AD7" s="51" cm="1">
        <f t="array" ref="AD7:AE9">MMULT(A11:C13,A6:B8)</f>
        <v>58</v>
      </c>
      <c r="AE7" s="50">
        <v>62</v>
      </c>
      <c r="AF7" s="49"/>
    </row>
    <row r="8" spans="1:32" ht="15.75" thickBot="1" x14ac:dyDescent="0.3">
      <c r="A8" s="57">
        <v>11</v>
      </c>
      <c r="B8" s="57">
        <v>12</v>
      </c>
      <c r="E8" t="s">
        <v>138</v>
      </c>
      <c r="H8" s="48" cm="1">
        <f t="array" ref="H8:J10">A2:C3+E2:E4</f>
        <v>12</v>
      </c>
      <c r="I8">
        <v>14</v>
      </c>
      <c r="J8" s="47">
        <v>13</v>
      </c>
      <c r="L8" s="48" cm="1">
        <f t="array" ref="L8:N10">E2:E4+A2:C3</f>
        <v>12</v>
      </c>
      <c r="M8">
        <v>14</v>
      </c>
      <c r="N8" s="47">
        <v>13</v>
      </c>
      <c r="S8" s="48" cm="1">
        <f t="array" ref="S8:S9">MMULT(A2:C3,E2:E4)</f>
        <v>190</v>
      </c>
      <c r="T8" s="47"/>
      <c r="V8" s="48" t="e" cm="1">
        <f t="array" ref="V8">MMULT(E2:E4,A2:C3)</f>
        <v>#VALUE!</v>
      </c>
      <c r="X8" s="47"/>
      <c r="Z8" s="46" t="str">
        <f ca="1">_xlfn.FORMULATEXT(Z7)</f>
        <v>=MMULT(A6:B8,A11:C13)</v>
      </c>
      <c r="AA8" s="45"/>
      <c r="AB8" s="44"/>
      <c r="AD8" s="48">
        <v>136</v>
      </c>
      <c r="AE8">
        <v>149</v>
      </c>
      <c r="AF8" s="47"/>
    </row>
    <row r="9" spans="1:32" ht="15.75" thickBot="1" x14ac:dyDescent="0.3">
      <c r="E9" s="70">
        <v>10</v>
      </c>
      <c r="F9" s="70">
        <v>20</v>
      </c>
      <c r="H9" s="48">
        <v>21</v>
      </c>
      <c r="I9">
        <v>27</v>
      </c>
      <c r="J9" s="47">
        <v>26</v>
      </c>
      <c r="L9" s="48">
        <v>21</v>
      </c>
      <c r="M9">
        <v>27</v>
      </c>
      <c r="N9" s="47">
        <v>26</v>
      </c>
      <c r="S9" s="53">
        <v>330</v>
      </c>
      <c r="T9" s="52"/>
      <c r="V9" s="46" t="str">
        <f ca="1">_xlfn.FORMULATEXT(V8)</f>
        <v>=MMULT(E2:E4,A2:C3)</v>
      </c>
      <c r="W9" s="45"/>
      <c r="X9" s="44"/>
      <c r="AD9" s="53">
        <v>214</v>
      </c>
      <c r="AE9" s="56">
        <v>236</v>
      </c>
      <c r="AF9" s="52"/>
    </row>
    <row r="10" spans="1:32" ht="15.75" thickBot="1" x14ac:dyDescent="0.3">
      <c r="A10" t="s">
        <v>55</v>
      </c>
      <c r="E10" s="70">
        <v>30</v>
      </c>
      <c r="F10" s="70">
        <v>40</v>
      </c>
      <c r="H10" s="48" t="e">
        <v>#N/A</v>
      </c>
      <c r="I10" t="e">
        <v>#N/A</v>
      </c>
      <c r="J10" s="47" t="e">
        <v>#N/A</v>
      </c>
      <c r="L10" s="53" t="e">
        <v>#N/A</v>
      </c>
      <c r="M10" s="56" t="e">
        <v>#N/A</v>
      </c>
      <c r="N10" s="52" t="e">
        <v>#N/A</v>
      </c>
      <c r="S10" s="46" t="str">
        <f ca="1">_xlfn.FORMULATEXT(S8)</f>
        <v>=MMULT(A2:C3,E2:E4)</v>
      </c>
      <c r="T10" s="44"/>
      <c r="AD10" s="46" t="str">
        <f ca="1">_xlfn.FORMULATEXT(AD7)</f>
        <v>=MMULT(A11:C13,A6:B8)</v>
      </c>
      <c r="AE10" s="45"/>
      <c r="AF10" s="44"/>
    </row>
    <row r="11" spans="1:32" ht="15.75" thickBot="1" x14ac:dyDescent="0.3">
      <c r="A11" s="55">
        <v>1</v>
      </c>
      <c r="B11" s="55">
        <v>2</v>
      </c>
      <c r="C11" s="55">
        <v>3</v>
      </c>
      <c r="E11" s="70">
        <v>50</v>
      </c>
      <c r="F11" s="70">
        <v>60</v>
      </c>
      <c r="H11" s="46" t="str">
        <f ca="1">_xlfn.FORMULATEXT(H8)</f>
        <v>=A2:C3+E2:E4</v>
      </c>
      <c r="I11" s="45"/>
      <c r="J11" s="44"/>
      <c r="L11" s="46" t="str">
        <f ca="1">_xlfn.FORMULATEXT(L8)</f>
        <v>=E2:E4+A2:C3</v>
      </c>
      <c r="M11" s="45"/>
      <c r="N11" s="44"/>
    </row>
    <row r="12" spans="1:32" ht="15.75" thickBot="1" x14ac:dyDescent="0.3">
      <c r="A12" s="55">
        <v>4</v>
      </c>
      <c r="B12" s="55">
        <v>5</v>
      </c>
      <c r="C12" s="55">
        <v>6</v>
      </c>
    </row>
    <row r="13" spans="1:32" ht="15.75" thickBot="1" x14ac:dyDescent="0.3">
      <c r="A13" s="55">
        <v>7</v>
      </c>
      <c r="B13" s="55">
        <v>8</v>
      </c>
      <c r="C13" s="55">
        <v>9</v>
      </c>
      <c r="E13" t="s">
        <v>140</v>
      </c>
      <c r="H13" s="46" t="s">
        <v>71</v>
      </c>
      <c r="I13" s="45"/>
      <c r="J13" s="44"/>
      <c r="L13" s="46" t="s">
        <v>70</v>
      </c>
      <c r="M13" s="45"/>
      <c r="N13" s="44"/>
      <c r="S13" s="46" t="s">
        <v>53</v>
      </c>
      <c r="T13" s="44"/>
      <c r="U13" s="46" t="s">
        <v>52</v>
      </c>
      <c r="V13" s="44"/>
      <c r="X13" s="46" t="s">
        <v>51</v>
      </c>
      <c r="Y13" s="44"/>
      <c r="Z13" s="46" t="s">
        <v>50</v>
      </c>
      <c r="AA13" s="45"/>
      <c r="AB13" s="44"/>
    </row>
    <row r="14" spans="1:32" ht="15.75" thickBot="1" x14ac:dyDescent="0.3">
      <c r="E14" s="54">
        <v>100</v>
      </c>
      <c r="H14" s="51" cm="1">
        <f t="array" ref="H14:J16">E2:E4+D6:F6</f>
        <v>20</v>
      </c>
      <c r="I14" s="50">
        <v>30</v>
      </c>
      <c r="J14" s="49">
        <v>40</v>
      </c>
      <c r="L14" s="51" cm="1">
        <f t="array" ref="L14:N16">MMULT(E2:E4,D6:F6)</f>
        <v>100</v>
      </c>
      <c r="M14" s="50">
        <v>200</v>
      </c>
      <c r="N14" s="49">
        <v>300</v>
      </c>
      <c r="S14" s="48" t="e" cm="1">
        <f t="array" ref="S14">MMULT(A6:B8,E2:E4)</f>
        <v>#VALUE!</v>
      </c>
      <c r="T14" s="47"/>
      <c r="U14" s="48" t="e" cm="1">
        <f t="array" ref="U14">MMULT(E2:E4,A6:B8)</f>
        <v>#VALUE!</v>
      </c>
      <c r="V14" s="47"/>
      <c r="X14" s="48" cm="1">
        <f t="array" ref="X14:X16">MMULT(A11:C13,E2:E4)</f>
        <v>140</v>
      </c>
      <c r="Y14" s="47"/>
      <c r="Z14" s="48" t="e" cm="1">
        <f t="array" ref="Z14">MMULT(E2:E4,A11:C13)</f>
        <v>#VALUE!</v>
      </c>
      <c r="AB14" s="47"/>
    </row>
    <row r="15" spans="1:32" ht="15.75" thickBot="1" x14ac:dyDescent="0.3">
      <c r="H15" s="48">
        <v>30</v>
      </c>
      <c r="I15">
        <v>40</v>
      </c>
      <c r="J15" s="47">
        <v>50</v>
      </c>
      <c r="L15" s="48">
        <v>200</v>
      </c>
      <c r="M15">
        <v>400</v>
      </c>
      <c r="N15" s="47">
        <v>600</v>
      </c>
      <c r="S15" s="46" t="str">
        <f ca="1">_xlfn.FORMULATEXT(S14)</f>
        <v>=MMULT(A6:B8,E2:E4)</v>
      </c>
      <c r="T15" s="44"/>
      <c r="U15" s="46" t="str">
        <f ca="1">_xlfn.FORMULATEXT(U14)</f>
        <v>=MMULT(E2:E4,A6:B8)</v>
      </c>
      <c r="V15" s="44"/>
      <c r="X15" s="48">
        <v>320</v>
      </c>
      <c r="Y15" s="47"/>
      <c r="Z15" s="46" t="str">
        <f ca="1">_xlfn.FORMULATEXT(Z14)</f>
        <v>=MMULT(E2:E4,A11:C13)</v>
      </c>
      <c r="AA15" s="45"/>
      <c r="AB15" s="44"/>
    </row>
    <row r="16" spans="1:32" ht="15.75" thickBot="1" x14ac:dyDescent="0.3">
      <c r="H16" s="53">
        <v>40</v>
      </c>
      <c r="I16" s="56">
        <v>50</v>
      </c>
      <c r="J16" s="52">
        <v>60</v>
      </c>
      <c r="L16" s="53">
        <v>300</v>
      </c>
      <c r="M16" s="56">
        <v>600</v>
      </c>
      <c r="N16" s="52">
        <v>900</v>
      </c>
      <c r="X16" s="48">
        <v>500</v>
      </c>
      <c r="Y16" s="47"/>
    </row>
    <row r="17" spans="2:28" ht="15.75" thickBot="1" x14ac:dyDescent="0.3">
      <c r="H17" s="46" t="str">
        <f ca="1">_xlfn.FORMULATEXT(H14)</f>
        <v>=E2:E4+D6:F6</v>
      </c>
      <c r="I17" s="45"/>
      <c r="J17" s="44"/>
      <c r="L17" s="46" t="str">
        <f ca="1">_xlfn.FORMULATEXT(L14)</f>
        <v>=MMULT(E2:E4,D6:F6)</v>
      </c>
      <c r="M17" s="45"/>
      <c r="N17" s="44"/>
      <c r="X17" s="46" t="str">
        <f ca="1">_xlfn.FORMULATEXT(X14)</f>
        <v>=MMULT(A11:C13,E2:E4)</v>
      </c>
      <c r="Y17" s="44"/>
    </row>
    <row r="18" spans="2:28" ht="15.75" thickBot="1" x14ac:dyDescent="0.3"/>
    <row r="19" spans="2:28" ht="15.75" thickBot="1" x14ac:dyDescent="0.3">
      <c r="B19" s="46" t="s">
        <v>141</v>
      </c>
      <c r="C19" s="45"/>
      <c r="D19" s="44"/>
      <c r="S19" s="46" t="s">
        <v>48</v>
      </c>
      <c r="T19" s="44"/>
      <c r="U19" s="46" t="s">
        <v>47</v>
      </c>
      <c r="V19" s="44"/>
      <c r="X19" s="46" t="s">
        <v>46</v>
      </c>
      <c r="Y19" s="44"/>
      <c r="Z19" s="46" t="s">
        <v>45</v>
      </c>
      <c r="AA19" s="45"/>
      <c r="AB19" s="44"/>
    </row>
    <row r="20" spans="2:28" ht="15.75" thickBot="1" x14ac:dyDescent="0.3">
      <c r="B20" s="48" cm="1">
        <f t="array" ref="B20:D21">(A2:C3)*E14</f>
        <v>200</v>
      </c>
      <c r="C20">
        <v>400</v>
      </c>
      <c r="D20" s="47">
        <v>300</v>
      </c>
      <c r="H20" s="61" t="s">
        <v>69</v>
      </c>
      <c r="K20" s="46" t="s">
        <v>54</v>
      </c>
      <c r="L20" s="44"/>
      <c r="N20" s="64" t="s">
        <v>143</v>
      </c>
      <c r="S20" s="48" t="e" cm="1">
        <f t="array" ref="S20">MMULT(A2:C3,D6:F6)</f>
        <v>#VALUE!</v>
      </c>
      <c r="T20" s="47"/>
      <c r="U20" s="48" t="e" cm="1">
        <f t="array" ref="U20">MMULT(D6:F6,A2:C3)</f>
        <v>#VALUE!</v>
      </c>
      <c r="V20" s="47"/>
      <c r="X20" s="48" t="e" cm="1">
        <f t="array" ref="X20">MMULT(A11:C13,D6:F6)</f>
        <v>#VALUE!</v>
      </c>
      <c r="Y20" s="47"/>
      <c r="Z20" s="48" cm="1">
        <f t="array" ref="Z20:AB20">MMULT(D6:F6,A11:C13)</f>
        <v>300</v>
      </c>
      <c r="AA20">
        <v>360</v>
      </c>
      <c r="AB20" s="47">
        <v>420</v>
      </c>
    </row>
    <row r="21" spans="2:28" ht="15.75" thickBot="1" x14ac:dyDescent="0.3">
      <c r="B21" s="48">
        <v>100</v>
      </c>
      <c r="C21">
        <v>700</v>
      </c>
      <c r="D21" s="47">
        <v>600</v>
      </c>
      <c r="H21" s="61" cm="1">
        <f t="array" ref="H21">MMULT(D6:F6,E2:E4)</f>
        <v>1400</v>
      </c>
      <c r="K21" s="48" cm="1">
        <f t="array" ref="K21:L23">A6:B8+E2:E4</f>
        <v>15</v>
      </c>
      <c r="L21" s="47">
        <v>18</v>
      </c>
      <c r="N21" s="61" cm="1">
        <f t="array" ref="N21:N23">E14*E2:E4</f>
        <v>1000</v>
      </c>
      <c r="S21" s="46" t="str">
        <f ca="1">_xlfn.FORMULATEXT(S20)</f>
        <v>=MMULT(A2:C3,D6:F6)</v>
      </c>
      <c r="T21" s="44"/>
      <c r="U21" s="46" t="str">
        <f ca="1">_xlfn.FORMULATEXT(U20)</f>
        <v>=MMULT(D6:F6,A2:C3)</v>
      </c>
      <c r="V21" s="44"/>
      <c r="X21" s="46" t="str">
        <f ca="1">_xlfn.FORMULATEXT(X20)</f>
        <v>=MMULT(A11:C13,D6:F6)</v>
      </c>
      <c r="Y21" s="44"/>
      <c r="Z21" s="46" t="str">
        <f ca="1">_xlfn.FORMULATEXT(Z20)</f>
        <v>=MMULT(D6:F6,A11:C13)</v>
      </c>
      <c r="AA21" s="45"/>
      <c r="AB21" s="44"/>
    </row>
    <row r="22" spans="2:28" ht="15.75" thickBot="1" x14ac:dyDescent="0.3">
      <c r="B22" s="46" t="str">
        <f ca="1">_xlfn.FORMULATEXT(B20)</f>
        <v>=(A2:C3)*E14</v>
      </c>
      <c r="C22" s="45"/>
      <c r="D22" s="44"/>
      <c r="H22" s="46" t="str">
        <f ca="1">_xlfn.FORMULATEXT(H21)</f>
        <v>=MMULT(D6:F6,E2:E4)</v>
      </c>
      <c r="I22" s="44"/>
      <c r="K22" s="48">
        <v>30</v>
      </c>
      <c r="L22" s="47">
        <v>29</v>
      </c>
      <c r="N22" s="62">
        <v>2000</v>
      </c>
    </row>
    <row r="23" spans="2:28" ht="15.75" thickBot="1" x14ac:dyDescent="0.3">
      <c r="K23" s="48">
        <v>41</v>
      </c>
      <c r="L23" s="47">
        <v>42</v>
      </c>
      <c r="N23" s="63">
        <v>3000</v>
      </c>
    </row>
    <row r="24" spans="2:28" ht="15.75" thickBot="1" x14ac:dyDescent="0.3">
      <c r="B24" s="46" t="s">
        <v>142</v>
      </c>
      <c r="C24" s="45"/>
      <c r="D24" s="44"/>
      <c r="K24" s="46" t="str">
        <f ca="1">_xlfn.FORMULATEXT(K21)</f>
        <v>=A6:B8+E2:E4</v>
      </c>
      <c r="L24" s="44"/>
      <c r="N24" s="64" t="str">
        <f ca="1">_xlfn.FORMULATEXT(N21)</f>
        <v>=E14*E2:E4</v>
      </c>
    </row>
    <row r="25" spans="2:28" ht="15.75" thickBot="1" x14ac:dyDescent="0.3">
      <c r="B25" s="48" cm="1">
        <f t="array" ref="B25:D26">E14*A2:C3</f>
        <v>200</v>
      </c>
      <c r="C25">
        <v>400</v>
      </c>
      <c r="D25" s="47">
        <v>300</v>
      </c>
    </row>
    <row r="26" spans="2:28" ht="17.25" thickBot="1" x14ac:dyDescent="0.3">
      <c r="B26" s="48">
        <v>100</v>
      </c>
      <c r="C26">
        <v>700</v>
      </c>
      <c r="D26" s="47">
        <v>600</v>
      </c>
      <c r="H26" s="46" t="s">
        <v>49</v>
      </c>
      <c r="I26" s="44"/>
      <c r="K26" s="46" t="s">
        <v>77</v>
      </c>
      <c r="L26" s="45"/>
      <c r="M26" s="44"/>
      <c r="O26" s="46" t="s">
        <v>78</v>
      </c>
      <c r="P26" s="45"/>
      <c r="Q26" s="44"/>
      <c r="S26" s="46" t="s">
        <v>41</v>
      </c>
      <c r="T26" s="44"/>
      <c r="U26" s="46" t="s">
        <v>40</v>
      </c>
      <c r="V26" s="44"/>
      <c r="W26" s="46" t="s">
        <v>39</v>
      </c>
      <c r="X26" s="44"/>
    </row>
    <row r="27" spans="2:28" ht="15.75" thickBot="1" x14ac:dyDescent="0.3">
      <c r="B27" s="46" t="str">
        <f ca="1">_xlfn.FORMULATEXT(B25)</f>
        <v>=E14*A2:C3</v>
      </c>
      <c r="C27" s="45"/>
      <c r="D27" s="44"/>
      <c r="H27" s="48" cm="1">
        <f t="array" ref="H27:I29">TRANSPOSE(A2:C3)</f>
        <v>2</v>
      </c>
      <c r="I27" s="47">
        <v>1</v>
      </c>
      <c r="K27" s="51" cm="1">
        <f t="array" ref="K27:M28">TRANSPOSE(A6:B8)</f>
        <v>5</v>
      </c>
      <c r="L27" s="50">
        <v>10</v>
      </c>
      <c r="M27" s="49">
        <v>11</v>
      </c>
      <c r="O27" s="51" cm="1">
        <f t="array" ref="O27:Q29">TRANSPOSE(A11:C13)</f>
        <v>1</v>
      </c>
      <c r="P27" s="50">
        <v>4</v>
      </c>
      <c r="Q27" s="49">
        <v>7</v>
      </c>
      <c r="S27" s="48" t="e">
        <f>MDETERM(A2:C3)</f>
        <v>#VALUE!</v>
      </c>
      <c r="T27" s="47"/>
      <c r="U27" s="53" t="e">
        <f>MDETERM(A6:B8)</f>
        <v>#VALUE!</v>
      </c>
      <c r="V27" s="52"/>
      <c r="W27" s="48">
        <f>MDETERM(A11:C13)</f>
        <v>6.6613381477509392E-16</v>
      </c>
      <c r="X27" s="47"/>
    </row>
    <row r="28" spans="2:28" ht="15.75" thickBot="1" x14ac:dyDescent="0.3">
      <c r="H28" s="48">
        <v>4</v>
      </c>
      <c r="I28" s="47">
        <v>7</v>
      </c>
      <c r="K28" s="53">
        <v>8</v>
      </c>
      <c r="L28" s="56">
        <v>9</v>
      </c>
      <c r="M28" s="52">
        <v>12</v>
      </c>
      <c r="O28" s="48">
        <v>2</v>
      </c>
      <c r="P28">
        <v>5</v>
      </c>
      <c r="Q28" s="47">
        <v>8</v>
      </c>
      <c r="S28" s="46" t="str">
        <f ca="1">_xlfn.FORMULATEXT(S27)</f>
        <v>=MDETERM(A2:C3)</v>
      </c>
      <c r="T28" s="44"/>
      <c r="U28" s="46" t="str">
        <f ca="1">_xlfn.FORMULATEXT(U27)</f>
        <v>=MDETERM(A6:B8)</v>
      </c>
      <c r="V28" s="45"/>
      <c r="W28" s="46" t="str">
        <f ca="1">_xlfn.FORMULATEXT(W27)</f>
        <v>=MDETERM(A11:C13)</v>
      </c>
      <c r="X28" s="44"/>
    </row>
    <row r="29" spans="2:28" ht="15.75" thickBot="1" x14ac:dyDescent="0.3">
      <c r="H29" s="48">
        <v>3</v>
      </c>
      <c r="I29" s="47">
        <v>6</v>
      </c>
      <c r="K29" s="46" t="str">
        <f ca="1">_xlfn.FORMULATEXT(K27)</f>
        <v>=TRANSPOSE(A6:B8)</v>
      </c>
      <c r="L29" s="45"/>
      <c r="M29" s="44"/>
      <c r="O29" s="53">
        <v>3</v>
      </c>
      <c r="P29" s="56">
        <v>6</v>
      </c>
      <c r="Q29" s="52">
        <v>9</v>
      </c>
    </row>
    <row r="30" spans="2:28" ht="15.75" thickBot="1" x14ac:dyDescent="0.3">
      <c r="H30" s="46" t="str">
        <f ca="1">_xlfn.FORMULATEXT(H27)</f>
        <v>=TRANSPOSE(A2:C3)</v>
      </c>
      <c r="I30" s="44"/>
      <c r="O30" s="46" t="str">
        <f ca="1">_xlfn.FORMULATEXT(O27)</f>
        <v>=TRANSPOSE(A11:C13)</v>
      </c>
      <c r="P30" s="45"/>
      <c r="Q30" s="44"/>
    </row>
    <row r="31" spans="2:28" ht="15.75" thickBot="1" x14ac:dyDescent="0.3"/>
    <row r="32" spans="2:28" ht="17.25" thickBot="1" x14ac:dyDescent="0.3">
      <c r="H32" s="46" t="s">
        <v>44</v>
      </c>
      <c r="I32" s="44"/>
      <c r="J32" s="46" t="s">
        <v>43</v>
      </c>
      <c r="K32" s="45"/>
      <c r="L32" s="46" t="s">
        <v>42</v>
      </c>
      <c r="M32" s="45"/>
      <c r="N32" s="44"/>
      <c r="P32" s="46" t="s">
        <v>72</v>
      </c>
      <c r="Q32" s="45"/>
      <c r="R32" s="44"/>
    </row>
    <row r="33" spans="8:28" ht="15.75" thickBot="1" x14ac:dyDescent="0.3">
      <c r="H33" s="48" t="e" cm="1">
        <f t="array" ref="H33">MINVERSE(A2:C3)</f>
        <v>#VALUE!</v>
      </c>
      <c r="I33" s="47"/>
      <c r="J33" s="48" t="e" cm="1">
        <f t="array" ref="J33">MINVERSE(A6:B8)</f>
        <v>#VALUE!</v>
      </c>
      <c r="L33" s="48" cm="1">
        <f t="array" ref="L33:N35">MINVERSE(A11:C13)</f>
        <v>-4503599627370498</v>
      </c>
      <c r="M33">
        <v>9007199254740992</v>
      </c>
      <c r="N33" s="47">
        <v>-4503599627370496</v>
      </c>
      <c r="P33" s="51" cm="1">
        <f t="array" ref="P33:R34">MMULT(A2:C3,MINVERSE(A11:C13))</f>
        <v>1.3510798882111494E+16</v>
      </c>
      <c r="Q33" s="50">
        <v>-2.7021597764222976E+16</v>
      </c>
      <c r="R33" s="49">
        <v>1.3510798882111486E+16</v>
      </c>
    </row>
    <row r="34" spans="8:28" ht="15.75" thickBot="1" x14ac:dyDescent="0.3">
      <c r="H34" s="46" t="str">
        <f ca="1">_xlfn.FORMULATEXT(H33)</f>
        <v>=MINVERSE(A2:C3)</v>
      </c>
      <c r="I34" s="44"/>
      <c r="J34" s="46" t="str">
        <f ca="1">_xlfn.FORMULATEXT(J33)</f>
        <v>=MINVERSE(A6:B8)</v>
      </c>
      <c r="K34" s="45"/>
      <c r="L34" s="48">
        <v>9007199254740996</v>
      </c>
      <c r="M34">
        <v>-1.8014398509481984E+16</v>
      </c>
      <c r="N34" s="47">
        <v>9007199254740991</v>
      </c>
      <c r="P34" s="53">
        <v>3.1525197391593492E+16</v>
      </c>
      <c r="Q34" s="56">
        <v>-6.3050394783186944E+16</v>
      </c>
      <c r="R34" s="52">
        <v>3.1525197391593468E+16</v>
      </c>
    </row>
    <row r="35" spans="8:28" ht="15.75" thickBot="1" x14ac:dyDescent="0.3">
      <c r="L35" s="48">
        <v>-4503599627370498</v>
      </c>
      <c r="M35">
        <v>9007199254740992</v>
      </c>
      <c r="N35" s="47">
        <v>-4503599627370495.5</v>
      </c>
      <c r="P35" s="46" t="str">
        <f ca="1">_xlfn.FORMULATEXT(P33)</f>
        <v>=MMULT(A2:C3,MINVERSE(A11:C13))</v>
      </c>
      <c r="Q35" s="45"/>
      <c r="R35" s="44"/>
    </row>
    <row r="36" spans="8:28" ht="15.75" thickBot="1" x14ac:dyDescent="0.3">
      <c r="L36" s="46" t="str">
        <f ca="1">_xlfn.FORMULATEXT(L33)</f>
        <v>=MINVERSE(A11:C13)</v>
      </c>
      <c r="M36" s="45"/>
      <c r="N36" s="44"/>
    </row>
    <row r="37" spans="8:28" ht="15.75" thickBot="1" x14ac:dyDescent="0.3"/>
    <row r="38" spans="8:28" ht="17.25" thickBot="1" x14ac:dyDescent="0.3">
      <c r="P38" s="46" t="s">
        <v>35</v>
      </c>
      <c r="Q38" s="45"/>
      <c r="R38" s="44"/>
      <c r="T38" s="46" t="s">
        <v>37</v>
      </c>
      <c r="U38" s="45"/>
      <c r="V38" s="44"/>
    </row>
    <row r="39" spans="8:28" ht="15.75" thickBot="1" x14ac:dyDescent="0.3">
      <c r="P39" s="48" t="e" cm="1">
        <f t="array" ref="P39">MMULT(A6:B8,MINVERSE(A11:C13))</f>
        <v>#VALUE!</v>
      </c>
      <c r="R39" s="47"/>
      <c r="T39" s="48" t="e" cm="1">
        <f t="array" ref="T39">MMULT(A2:C3,MINVERSE(A6:B8))</f>
        <v>#VALUE!</v>
      </c>
      <c r="V39" s="47"/>
    </row>
    <row r="40" spans="8:28" ht="15.75" thickBot="1" x14ac:dyDescent="0.3">
      <c r="P40" s="46" t="str">
        <f ca="1">_xlfn.FORMULATEXT(P39)</f>
        <v>=MMULT(A6:B8,MINVERSE(A11:C13))</v>
      </c>
      <c r="Q40" s="45"/>
      <c r="R40" s="44"/>
      <c r="T40" s="46" t="str">
        <f ca="1">_xlfn.FORMULATEXT(T39)</f>
        <v>=MMULT(A2:C3,MINVERSE(A6:B8))</v>
      </c>
      <c r="U40" s="45"/>
      <c r="V40" s="44"/>
    </row>
    <row r="41" spans="8:28" ht="15.75" thickBot="1" x14ac:dyDescent="0.3"/>
    <row r="42" spans="8:28" ht="15.75" thickBot="1" x14ac:dyDescent="0.3">
      <c r="H42" s="46" t="s">
        <v>38</v>
      </c>
      <c r="I42" s="45"/>
      <c r="J42" s="44"/>
      <c r="L42" s="46" t="s">
        <v>80</v>
      </c>
      <c r="M42" s="45"/>
      <c r="N42" s="44"/>
      <c r="P42" s="46" t="s">
        <v>36</v>
      </c>
      <c r="Q42" s="45"/>
      <c r="R42" s="44"/>
      <c r="T42" s="46" t="s">
        <v>79</v>
      </c>
      <c r="U42" s="45"/>
      <c r="V42" s="44"/>
    </row>
    <row r="43" spans="8:28" x14ac:dyDescent="0.25">
      <c r="H43" s="48" cm="1">
        <f t="array" ref="H43:J45">A2:C3/A6:B8</f>
        <v>0.4</v>
      </c>
      <c r="I43">
        <v>0.5</v>
      </c>
      <c r="J43" s="47" t="e">
        <v>#N/A</v>
      </c>
      <c r="L43" s="51" cm="1">
        <f t="array" ref="L43:N45">A6:B8/A2:C3</f>
        <v>2.5</v>
      </c>
      <c r="M43" s="50">
        <v>2</v>
      </c>
      <c r="N43" s="49" t="e">
        <v>#N/A</v>
      </c>
      <c r="P43" s="48" cm="1">
        <f t="array" ref="P43:R45">A6:B8/A11:C13</f>
        <v>5</v>
      </c>
      <c r="Q43">
        <v>4</v>
      </c>
      <c r="R43" s="47" t="e">
        <v>#N/A</v>
      </c>
      <c r="T43" s="51" cm="1">
        <f t="array" ref="T43:V45">A11:C13/A6:B8</f>
        <v>0.2</v>
      </c>
      <c r="U43" s="50">
        <v>0.25</v>
      </c>
      <c r="V43" s="49" t="e">
        <v>#N/A</v>
      </c>
      <c r="X43">
        <v>4</v>
      </c>
      <c r="Z43">
        <v>2</v>
      </c>
      <c r="AB43" cm="1">
        <f t="array" ref="AB43:AB45">X43:X45-Z43:Z45</f>
        <v>2</v>
      </c>
    </row>
    <row r="44" spans="8:28" x14ac:dyDescent="0.25">
      <c r="H44" s="48">
        <v>0.1</v>
      </c>
      <c r="I44">
        <v>0.77777777777777779</v>
      </c>
      <c r="J44" s="47" t="e">
        <v>#N/A</v>
      </c>
      <c r="L44" s="48">
        <v>10</v>
      </c>
      <c r="M44">
        <v>1.2857142857142858</v>
      </c>
      <c r="N44" s="47" t="e">
        <v>#N/A</v>
      </c>
      <c r="P44" s="48">
        <v>2.5</v>
      </c>
      <c r="Q44">
        <v>1.8</v>
      </c>
      <c r="R44" s="47" t="e">
        <v>#N/A</v>
      </c>
      <c r="T44" s="48">
        <v>0.4</v>
      </c>
      <c r="U44">
        <v>0.55555555555555558</v>
      </c>
      <c r="V44" s="47" t="e">
        <v>#N/A</v>
      </c>
      <c r="X44">
        <v>-3</v>
      </c>
      <c r="Y44" s="182" t="s">
        <v>201</v>
      </c>
      <c r="Z44">
        <v>1</v>
      </c>
      <c r="AA44" s="182" t="s">
        <v>145</v>
      </c>
      <c r="AB44">
        <v>-4</v>
      </c>
    </row>
    <row r="45" spans="8:28" ht="15.75" thickBot="1" x14ac:dyDescent="0.3">
      <c r="H45" s="48" t="e">
        <v>#N/A</v>
      </c>
      <c r="I45" t="e">
        <v>#N/A</v>
      </c>
      <c r="J45" s="47" t="e">
        <v>#N/A</v>
      </c>
      <c r="L45" s="53" t="e">
        <v>#N/A</v>
      </c>
      <c r="M45" s="56" t="e">
        <v>#N/A</v>
      </c>
      <c r="N45" s="52" t="e">
        <v>#N/A</v>
      </c>
      <c r="P45" s="48">
        <v>1.5714285714285714</v>
      </c>
      <c r="Q45">
        <v>1.5</v>
      </c>
      <c r="R45" s="47" t="e">
        <v>#N/A</v>
      </c>
      <c r="T45" s="53">
        <v>0.63636363636363635</v>
      </c>
      <c r="U45" s="56">
        <v>0.66666666666666663</v>
      </c>
      <c r="V45" s="52" t="e">
        <v>#N/A</v>
      </c>
      <c r="X45">
        <v>5</v>
      </c>
      <c r="Z45">
        <v>-6</v>
      </c>
      <c r="AB45">
        <v>11</v>
      </c>
    </row>
    <row r="46" spans="8:28" ht="15.75" thickBot="1" x14ac:dyDescent="0.3">
      <c r="H46" s="46" t="str">
        <f ca="1">_xlfn.FORMULATEXT(H43)</f>
        <v>=A2:C3/A6:B8</v>
      </c>
      <c r="I46" s="45"/>
      <c r="J46" s="44"/>
      <c r="L46" s="46" t="str">
        <f ca="1">_xlfn.FORMULATEXT(L43)</f>
        <v>=A6:B8/A2:C3</v>
      </c>
      <c r="M46" s="45"/>
      <c r="N46" s="44"/>
      <c r="P46" s="46" t="str">
        <f ca="1">_xlfn.FORMULATEXT(P43)</f>
        <v>=A6:B8/A11:C13</v>
      </c>
      <c r="Q46" s="45"/>
      <c r="R46" s="44"/>
      <c r="T46" s="46" t="str">
        <f ca="1">_xlfn.FORMULATEXT(T43)</f>
        <v>=A11:C13/A6:B8</v>
      </c>
      <c r="U46" s="45"/>
      <c r="V46" s="44"/>
    </row>
    <row r="47" spans="8:28" x14ac:dyDescent="0.25">
      <c r="X47">
        <v>4</v>
      </c>
      <c r="Z47">
        <f>Z43*-1</f>
        <v>-2</v>
      </c>
      <c r="AB47" cm="1">
        <f t="array" ref="AB47:AB49">X47:X49+Z47:Z49</f>
        <v>2</v>
      </c>
    </row>
    <row r="48" spans="8:28" x14ac:dyDescent="0.25">
      <c r="X48">
        <v>-3</v>
      </c>
      <c r="Y48" s="182" t="s">
        <v>202</v>
      </c>
      <c r="Z48">
        <f>Z44*-1</f>
        <v>-1</v>
      </c>
      <c r="AA48" s="66" t="s">
        <v>145</v>
      </c>
      <c r="AB48">
        <v>-4</v>
      </c>
    </row>
    <row r="49" spans="1:28" x14ac:dyDescent="0.25">
      <c r="X49">
        <v>5</v>
      </c>
      <c r="Z49">
        <f>Z45*-1</f>
        <v>6</v>
      </c>
      <c r="AB49">
        <v>11</v>
      </c>
    </row>
    <row r="50" spans="1:28" x14ac:dyDescent="0.25">
      <c r="Z50" t="str">
        <f ca="1">_xlfn.FORMULATEXT(Z47)</f>
        <v>=Z43*-1</v>
      </c>
    </row>
    <row r="52" spans="1:28" x14ac:dyDescent="0.25">
      <c r="A52" t="s">
        <v>34</v>
      </c>
    </row>
    <row r="54" spans="1:28" x14ac:dyDescent="0.25">
      <c r="A54" s="65" t="s">
        <v>73</v>
      </c>
    </row>
    <row r="56" spans="1:28" x14ac:dyDescent="0.25">
      <c r="A56" s="65" t="s">
        <v>81</v>
      </c>
    </row>
  </sheetData>
  <hyperlinks>
    <hyperlink ref="A56" r:id="rId1" location=":~:text=For%20a%203%C3%973matrix%20(3%20r" xr:uid="{0DA8C074-005A-443C-BC91-36ADFB87F84D}"/>
    <hyperlink ref="A54" r:id="rId2" xr:uid="{C730E3A9-7735-4E17-A558-9C0F5ADF74A5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50878-B20D-4FC2-AB3E-BFFE053B620B}">
  <dimension ref="A1:J8"/>
  <sheetViews>
    <sheetView zoomScaleNormal="100" workbookViewId="0">
      <selection activeCell="E3" sqref="E3"/>
    </sheetView>
  </sheetViews>
  <sheetFormatPr defaultRowHeight="15" x14ac:dyDescent="0.25"/>
  <sheetData>
    <row r="1" spans="1:10" x14ac:dyDescent="0.25">
      <c r="A1" s="5" t="s">
        <v>10</v>
      </c>
      <c r="C1" t="s">
        <v>11</v>
      </c>
      <c r="D1" t="s">
        <v>13</v>
      </c>
      <c r="E1" t="s">
        <v>15</v>
      </c>
      <c r="J1" t="s">
        <v>14</v>
      </c>
    </row>
    <row r="2" spans="1:10" ht="18" x14ac:dyDescent="0.35">
      <c r="A2" s="6">
        <v>2</v>
      </c>
      <c r="C2" t="s">
        <v>25</v>
      </c>
      <c r="E2" cm="1">
        <f t="array" ref="E2">SUM(ABS(A2:A4))</f>
        <v>6</v>
      </c>
      <c r="F2" t="str">
        <f ca="1">_xlfn.FORMULATEXT(E2)</f>
        <v>=SUM(ABS(A2:A4))</v>
      </c>
      <c r="J2" t="s">
        <v>12</v>
      </c>
    </row>
    <row r="3" spans="1:10" ht="18" x14ac:dyDescent="0.35">
      <c r="A3" s="7">
        <v>1</v>
      </c>
      <c r="C3" t="s">
        <v>26</v>
      </c>
      <c r="E3" s="1">
        <f>SQRT(SUMSQ(A2:A4))</f>
        <v>3.7416573867739413</v>
      </c>
      <c r="F3" t="str">
        <f t="shared" ref="F3:F6" ca="1" si="0">_xlfn.FORMULATEXT(E3)</f>
        <v>=SQRT(SUMSQ(A2:A4))</v>
      </c>
      <c r="J3" t="s">
        <v>16</v>
      </c>
    </row>
    <row r="4" spans="1:10" ht="18" x14ac:dyDescent="0.35">
      <c r="A4" s="8">
        <v>3</v>
      </c>
      <c r="C4" t="s">
        <v>27</v>
      </c>
      <c r="E4" s="1">
        <f>(A2^3+A3^3+A4^3)^1/3</f>
        <v>12</v>
      </c>
      <c r="F4" t="str">
        <f t="shared" ca="1" si="0"/>
        <v>=(A2^3+A3^3+A4^3)^1/3</v>
      </c>
      <c r="I4" t="s">
        <v>18</v>
      </c>
      <c r="J4" t="s">
        <v>17</v>
      </c>
    </row>
    <row r="5" spans="1:10" ht="18" x14ac:dyDescent="0.35">
      <c r="C5" t="s">
        <v>29</v>
      </c>
      <c r="E5">
        <f>MAX(A2:A4)</f>
        <v>3</v>
      </c>
      <c r="F5" t="str">
        <f t="shared" ca="1" si="0"/>
        <v>=MAX(A2:A4)</v>
      </c>
      <c r="J5" t="s">
        <v>19</v>
      </c>
    </row>
    <row r="6" spans="1:10" ht="18" x14ac:dyDescent="0.35">
      <c r="C6" t="s">
        <v>28</v>
      </c>
      <c r="E6">
        <f>COUNTIF(A2:A4,"&lt;&gt;0")</f>
        <v>3</v>
      </c>
      <c r="F6" t="str">
        <f t="shared" ca="1" si="0"/>
        <v>=COUNTIF(A2:A4,"&lt;&gt;0")</v>
      </c>
      <c r="J6" t="s">
        <v>20</v>
      </c>
    </row>
    <row r="7" spans="1:10" ht="18" x14ac:dyDescent="0.35">
      <c r="C7" t="s">
        <v>30</v>
      </c>
      <c r="E7" s="4" t="s">
        <v>22</v>
      </c>
      <c r="J7" t="s">
        <v>21</v>
      </c>
    </row>
    <row r="8" spans="1:10" ht="18" x14ac:dyDescent="0.35">
      <c r="C8" t="s">
        <v>23</v>
      </c>
      <c r="E8" s="4" t="s">
        <v>22</v>
      </c>
      <c r="J8" t="s">
        <v>24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C1F8-B7A0-44C6-9F39-60BFE19E2F69}">
  <dimension ref="A1:AC20"/>
  <sheetViews>
    <sheetView topLeftCell="O1" zoomScaleNormal="100" workbookViewId="0">
      <selection activeCell="K17" sqref="K17"/>
    </sheetView>
  </sheetViews>
  <sheetFormatPr defaultRowHeight="15" x14ac:dyDescent="0.25"/>
  <cols>
    <col min="1" max="1" width="11.7109375" customWidth="1"/>
    <col min="7" max="7" width="11.85546875" customWidth="1"/>
    <col min="14" max="14" width="10.85546875" customWidth="1"/>
    <col min="21" max="21" width="3.7109375" customWidth="1"/>
    <col min="26" max="26" width="4.7109375" customWidth="1"/>
  </cols>
  <sheetData>
    <row r="1" spans="1:29" x14ac:dyDescent="0.25">
      <c r="B1" s="2" t="s">
        <v>0</v>
      </c>
      <c r="E1" t="s">
        <v>1</v>
      </c>
      <c r="H1" t="s">
        <v>31</v>
      </c>
      <c r="O1" t="s">
        <v>5</v>
      </c>
      <c r="V1" s="42" t="s">
        <v>32</v>
      </c>
      <c r="W1">
        <f>COUNT(B2:D4)</f>
        <v>9</v>
      </c>
      <c r="X1" t="str">
        <f ca="1">_xlfn.FORMULATEXT(W1)</f>
        <v>=COUNT(B2:D4)</v>
      </c>
      <c r="AA1" s="42" t="s">
        <v>32</v>
      </c>
      <c r="AB1">
        <f>COUNT(B2:D4)</f>
        <v>9</v>
      </c>
      <c r="AC1" t="str">
        <f ca="1">_xlfn.FORMULATEXT(AB1)</f>
        <v>=COUNT(B2:D4)</v>
      </c>
    </row>
    <row r="2" spans="1:29" x14ac:dyDescent="0.25">
      <c r="B2" s="9">
        <v>2</v>
      </c>
      <c r="C2" s="10">
        <v>3</v>
      </c>
      <c r="D2" s="11">
        <v>4</v>
      </c>
      <c r="E2" s="1">
        <f>SQRT(SUMSQ(B2:D2))</f>
        <v>5.3851648071345037</v>
      </c>
      <c r="F2" t="str">
        <f ca="1">_xlfn.FORMULATEXT(E2)</f>
        <v>=SQRT(SUMSQ(B2:D2))</v>
      </c>
      <c r="H2" s="26">
        <f>(B2-AVERAGE(B$2:B$4))/_xlfn.STDEV.S(B$2:B$4)</f>
        <v>0</v>
      </c>
      <c r="I2" s="19">
        <f t="shared" ref="I2:J2" si="0">(C2-AVERAGE(C$2:C$4))/_xlfn.STDEV.S(C$2:C$4)</f>
        <v>0.13245323570650441</v>
      </c>
      <c r="J2" s="27">
        <f t="shared" si="0"/>
        <v>0</v>
      </c>
      <c r="K2" t="str">
        <f ca="1">_xlfn.FORMULATEXT(H2)</f>
        <v>=(B2-AVERAGE(B$2:B$4))/STDEV.S(B$2:B$4)</v>
      </c>
      <c r="O2" s="26">
        <f t="shared" ref="O2:Q4" si="1">(B2-MIN(B$2:B$4))/(MAX(B$2:B$4)-MIN(B$2:B$4))</f>
        <v>0.5</v>
      </c>
      <c r="P2" s="40">
        <f t="shared" si="1"/>
        <v>0.6</v>
      </c>
      <c r="Q2" s="27">
        <f t="shared" si="1"/>
        <v>0.5</v>
      </c>
      <c r="V2" s="43" t="s">
        <v>160</v>
      </c>
      <c r="W2" s="73">
        <f>1/W1</f>
        <v>0.1111111111111111</v>
      </c>
      <c r="X2" t="str">
        <f ca="1">_xlfn.FORMULATEXT(W2)</f>
        <v>=1/W1</v>
      </c>
      <c r="AA2" s="43" t="s">
        <v>33</v>
      </c>
      <c r="AB2" s="73">
        <f>1/SQRT(AB1)</f>
        <v>0.33333333333333331</v>
      </c>
      <c r="AC2" t="str">
        <f ca="1">_xlfn.FORMULATEXT(AB2)</f>
        <v>=1/SQRT(AB1)</v>
      </c>
    </row>
    <row r="3" spans="1:29" x14ac:dyDescent="0.25">
      <c r="B3" s="12">
        <v>1</v>
      </c>
      <c r="C3" s="13">
        <v>0</v>
      </c>
      <c r="D3" s="14">
        <v>2</v>
      </c>
      <c r="E3" s="1">
        <f t="shared" ref="E3:E4" si="2">SQRT(SUMSQ(B3:D3))</f>
        <v>2.2360679774997898</v>
      </c>
      <c r="H3" s="28">
        <f t="shared" ref="H3:H4" si="3">(B3-AVERAGE(B$2:B$4))/_xlfn.STDEV.S(B$2:B$4)</f>
        <v>-1</v>
      </c>
      <c r="I3" s="1">
        <f t="shared" ref="I3:I4" si="4">(C3-AVERAGE(C$2:C$4))/_xlfn.STDEV.S(C$2:C$4)</f>
        <v>-1.0596258856520349</v>
      </c>
      <c r="J3" s="29">
        <f t="shared" ref="J3:J4" si="5">(D3-AVERAGE(D$2:D$4))/_xlfn.STDEV.S(D$2:D$4)</f>
        <v>-1</v>
      </c>
      <c r="O3" s="28">
        <f t="shared" si="1"/>
        <v>0</v>
      </c>
      <c r="P3">
        <f t="shared" si="1"/>
        <v>0</v>
      </c>
      <c r="Q3" s="29">
        <f t="shared" si="1"/>
        <v>0</v>
      </c>
      <c r="V3" s="43" t="s">
        <v>161</v>
      </c>
      <c r="W3" s="73">
        <f>1/(W1-1)</f>
        <v>0.125</v>
      </c>
      <c r="X3" t="str">
        <f ca="1">_xlfn.FORMULATEXT(W3)</f>
        <v>=1/(W1-1)</v>
      </c>
      <c r="AA3" s="43" t="s">
        <v>150</v>
      </c>
      <c r="AB3" s="73">
        <f>1/SQRT(AB1-1)</f>
        <v>0.35355339059327373</v>
      </c>
      <c r="AC3" t="str">
        <f ca="1">_xlfn.FORMULATEXT(AB3)</f>
        <v>=1/SQRT(AB1-1)</v>
      </c>
    </row>
    <row r="4" spans="1:29" x14ac:dyDescent="0.25">
      <c r="B4" s="15">
        <v>3</v>
      </c>
      <c r="C4" s="16">
        <v>5</v>
      </c>
      <c r="D4" s="17">
        <v>6</v>
      </c>
      <c r="E4" s="1">
        <f t="shared" si="2"/>
        <v>8.3666002653407556</v>
      </c>
      <c r="H4" s="30">
        <f t="shared" si="3"/>
        <v>1</v>
      </c>
      <c r="I4" s="24">
        <f t="shared" si="4"/>
        <v>0.92717264994553061</v>
      </c>
      <c r="J4" s="31">
        <f t="shared" si="5"/>
        <v>1</v>
      </c>
      <c r="O4" s="30">
        <f t="shared" si="1"/>
        <v>1</v>
      </c>
      <c r="P4" s="41">
        <f t="shared" si="1"/>
        <v>1</v>
      </c>
      <c r="Q4" s="31">
        <f t="shared" si="1"/>
        <v>1</v>
      </c>
    </row>
    <row r="5" spans="1:29" x14ac:dyDescent="0.25">
      <c r="A5" t="s">
        <v>2</v>
      </c>
      <c r="B5" s="1">
        <f>SQRT(SUMSQ(B2:B4))</f>
        <v>3.7416573867739413</v>
      </c>
      <c r="C5" s="1">
        <f t="shared" ref="C5:D5" si="6">SQRT(SUMSQ(C2:C4))</f>
        <v>5.8309518948453007</v>
      </c>
      <c r="D5" s="1">
        <f t="shared" si="6"/>
        <v>7.4833147735478827</v>
      </c>
      <c r="H5">
        <f>AVERAGE(H2:H4)</f>
        <v>0</v>
      </c>
      <c r="I5">
        <f t="shared" ref="I5:J5" si="7">AVERAGE(I2:I4)</f>
        <v>0</v>
      </c>
      <c r="J5">
        <f t="shared" si="7"/>
        <v>0</v>
      </c>
      <c r="K5" t="str">
        <f ca="1">_xlfn.FORMULATEXT(H5)</f>
        <v>=AVERAGE(H2:H4)</v>
      </c>
      <c r="O5" t="str">
        <f ca="1">_xlfn.FORMULATEXT(O2)</f>
        <v>=(B2-MIN(B$2:B$4))/(MAX(B$2:B$4)-MIN(B$2:B$4))</v>
      </c>
      <c r="V5" t="s">
        <v>192</v>
      </c>
      <c r="AA5" t="s">
        <v>193</v>
      </c>
    </row>
    <row r="6" spans="1:29" x14ac:dyDescent="0.25">
      <c r="B6" t="str">
        <f ca="1">_xlfn.FORMULATEXT(B5)</f>
        <v>=SQRT(SUMSQ(B2:B4))</v>
      </c>
      <c r="H6">
        <f>_xlfn.STDEV.S(H2:H4)</f>
        <v>1</v>
      </c>
      <c r="I6">
        <f t="shared" ref="I6:J6" si="8">_xlfn.STDEV.S(I2:I4)</f>
        <v>0.99999999999999989</v>
      </c>
      <c r="J6">
        <f t="shared" si="8"/>
        <v>1</v>
      </c>
      <c r="K6" t="str">
        <f ca="1">_xlfn.FORMULATEXT(H6)</f>
        <v>=STDEV.S(H2:H4)</v>
      </c>
      <c r="V6" s="18">
        <f>B2*$W$2</f>
        <v>0.22222222222222221</v>
      </c>
      <c r="W6" s="19">
        <f t="shared" ref="W6:X8" si="9">C2*$W$2</f>
        <v>0.33333333333333331</v>
      </c>
      <c r="X6" s="20">
        <f t="shared" si="9"/>
        <v>0.44444444444444442</v>
      </c>
      <c r="Y6" s="1"/>
      <c r="AA6" s="18">
        <f t="shared" ref="AA6:AC8" si="10">B2*$AB$2</f>
        <v>0.66666666666666663</v>
      </c>
      <c r="AB6" s="40">
        <f t="shared" si="10"/>
        <v>1</v>
      </c>
      <c r="AC6" s="20">
        <f t="shared" si="10"/>
        <v>1.3333333333333333</v>
      </c>
    </row>
    <row r="7" spans="1:29" x14ac:dyDescent="0.25">
      <c r="O7" t="s">
        <v>6</v>
      </c>
      <c r="V7" s="21">
        <f t="shared" ref="V7:V8" si="11">B3*$W$2</f>
        <v>0.1111111111111111</v>
      </c>
      <c r="W7" s="1">
        <f t="shared" si="9"/>
        <v>0</v>
      </c>
      <c r="X7" s="22">
        <f t="shared" si="9"/>
        <v>0.22222222222222221</v>
      </c>
      <c r="Y7" s="1"/>
      <c r="AA7" s="21">
        <f t="shared" si="10"/>
        <v>0.33333333333333331</v>
      </c>
      <c r="AB7">
        <f t="shared" si="10"/>
        <v>0</v>
      </c>
      <c r="AC7" s="22">
        <f t="shared" si="10"/>
        <v>0.66666666666666663</v>
      </c>
    </row>
    <row r="8" spans="1:29" x14ac:dyDescent="0.25">
      <c r="B8" t="s">
        <v>9</v>
      </c>
      <c r="H8" t="s">
        <v>4</v>
      </c>
      <c r="O8" s="32">
        <f t="shared" ref="O8:Q10" si="12">(B2-MIN($B2:$D2))/(MAX($B2:$D2)-MIN($B2:$D2))</f>
        <v>0</v>
      </c>
      <c r="P8" s="33">
        <f t="shared" si="12"/>
        <v>0.5</v>
      </c>
      <c r="Q8" s="34">
        <f t="shared" si="12"/>
        <v>1</v>
      </c>
      <c r="V8" s="23">
        <f t="shared" si="11"/>
        <v>0.33333333333333331</v>
      </c>
      <c r="W8" s="24">
        <f t="shared" si="9"/>
        <v>0.55555555555555558</v>
      </c>
      <c r="X8" s="25">
        <f t="shared" si="9"/>
        <v>0.66666666666666663</v>
      </c>
      <c r="Y8" s="1"/>
      <c r="AA8" s="30">
        <f t="shared" si="10"/>
        <v>1</v>
      </c>
      <c r="AB8" s="24">
        <f t="shared" si="10"/>
        <v>1.6666666666666665</v>
      </c>
      <c r="AC8" s="31">
        <f t="shared" si="10"/>
        <v>2</v>
      </c>
    </row>
    <row r="9" spans="1:29" x14ac:dyDescent="0.25">
      <c r="B9" s="26">
        <f>B2-AVERAGE(B$2:B$4)</f>
        <v>0</v>
      </c>
      <c r="C9" s="40">
        <f t="shared" ref="C9:D9" si="13">C2-AVERAGE(C$2:C$4)</f>
        <v>0.33333333333333348</v>
      </c>
      <c r="D9" s="27">
        <f t="shared" si="13"/>
        <v>0</v>
      </c>
      <c r="E9" t="str">
        <f ca="1">_xlfn.FORMULATEXT(B9)</f>
        <v>=B2-AVERAGE(B$2:B$4)</v>
      </c>
      <c r="H9" s="18">
        <f t="shared" ref="H9:J11" si="14">B2/B$5</f>
        <v>0.53452248382484879</v>
      </c>
      <c r="I9" s="19">
        <f t="shared" si="14"/>
        <v>0.51449575542752646</v>
      </c>
      <c r="J9" s="20">
        <f t="shared" si="14"/>
        <v>0.53452248382484879</v>
      </c>
      <c r="O9" s="35">
        <f t="shared" si="12"/>
        <v>0.5</v>
      </c>
      <c r="P9" s="4">
        <f t="shared" si="12"/>
        <v>0</v>
      </c>
      <c r="Q9" s="36">
        <f t="shared" si="12"/>
        <v>1</v>
      </c>
      <c r="V9" t="str">
        <f ca="1">_xlfn.FORMULATEXT(V6)</f>
        <v>=B2*$W$2</v>
      </c>
      <c r="AA9" t="str">
        <f ca="1">_xlfn.FORMULATEXT(AA6)</f>
        <v>=B2*$AB$2</v>
      </c>
    </row>
    <row r="10" spans="1:29" x14ac:dyDescent="0.25">
      <c r="B10" s="28">
        <f t="shared" ref="B10:D10" si="15">B3-AVERAGE(B$2:B$4)</f>
        <v>-1</v>
      </c>
      <c r="C10">
        <f t="shared" si="15"/>
        <v>-2.6666666666666665</v>
      </c>
      <c r="D10" s="29">
        <f t="shared" si="15"/>
        <v>-2</v>
      </c>
      <c r="H10" s="21">
        <f t="shared" si="14"/>
        <v>0.2672612419124244</v>
      </c>
      <c r="I10" s="1">
        <f t="shared" si="14"/>
        <v>0</v>
      </c>
      <c r="J10" s="22">
        <f t="shared" si="14"/>
        <v>0.2672612419124244</v>
      </c>
      <c r="O10" s="37">
        <f t="shared" si="12"/>
        <v>0</v>
      </c>
      <c r="P10" s="38">
        <f t="shared" si="12"/>
        <v>0.66666666666666663</v>
      </c>
      <c r="Q10" s="39">
        <f t="shared" si="12"/>
        <v>1</v>
      </c>
    </row>
    <row r="11" spans="1:29" x14ac:dyDescent="0.25">
      <c r="B11" s="30">
        <f t="shared" ref="B11:D11" si="16">B4-AVERAGE(B$2:B$4)</f>
        <v>1</v>
      </c>
      <c r="C11" s="41">
        <f t="shared" si="16"/>
        <v>2.3333333333333335</v>
      </c>
      <c r="D11" s="31">
        <f t="shared" si="16"/>
        <v>2</v>
      </c>
      <c r="H11" s="23">
        <f t="shared" si="14"/>
        <v>0.80178372573727319</v>
      </c>
      <c r="I11" s="24">
        <f t="shared" si="14"/>
        <v>0.8574929257125441</v>
      </c>
      <c r="J11" s="25">
        <f t="shared" si="14"/>
        <v>0.80178372573727319</v>
      </c>
      <c r="O11" t="str">
        <f ca="1">_xlfn.FORMULATEXT(O8)</f>
        <v>=(B2-MIN($B2:$D2))/(MAX($B2:$D2)-MIN($B2:$D2))</v>
      </c>
      <c r="V11" t="s">
        <v>194</v>
      </c>
      <c r="AA11" t="s">
        <v>195</v>
      </c>
    </row>
    <row r="12" spans="1:29" x14ac:dyDescent="0.25">
      <c r="B12">
        <f>AVERAGE(B9:B11)</f>
        <v>0</v>
      </c>
      <c r="C12">
        <f t="shared" ref="C12:D12" si="17">AVERAGE(C9:C11)</f>
        <v>0</v>
      </c>
      <c r="D12">
        <f t="shared" si="17"/>
        <v>0</v>
      </c>
      <c r="H12" t="str">
        <f ca="1">_xlfn.FORMULATEXT(H9)</f>
        <v>=B2/B$5</v>
      </c>
      <c r="V12" s="18">
        <f>B2*$W$3</f>
        <v>0.25</v>
      </c>
      <c r="W12" s="19">
        <f t="shared" ref="W12:X14" si="18">C2*$W$3</f>
        <v>0.375</v>
      </c>
      <c r="X12" s="20">
        <f t="shared" si="18"/>
        <v>0.5</v>
      </c>
      <c r="Y12" s="1"/>
      <c r="AA12" s="18">
        <f>B2*$AB$3</f>
        <v>0.70710678118654746</v>
      </c>
      <c r="AB12" s="19">
        <f t="shared" ref="AB12:AC12" si="19">C2*$AB$3</f>
        <v>1.0606601717798212</v>
      </c>
      <c r="AC12" s="20">
        <f t="shared" si="19"/>
        <v>1.4142135623730949</v>
      </c>
    </row>
    <row r="13" spans="1:29" x14ac:dyDescent="0.25">
      <c r="B13" t="str">
        <f ca="1">_xlfn.FORMULATEXT(B12)</f>
        <v>=AVERAGE(B9:B11)</v>
      </c>
      <c r="H13">
        <f>SQRT(SUMSQ(H9:H11))</f>
        <v>1</v>
      </c>
      <c r="I13">
        <f t="shared" ref="I13:J13" si="20">SQRT(SUMSQ(I9:I11))</f>
        <v>0.99999999999999989</v>
      </c>
      <c r="J13">
        <f t="shared" si="20"/>
        <v>1</v>
      </c>
      <c r="O13" t="s">
        <v>7</v>
      </c>
      <c r="V13" s="21">
        <f t="shared" ref="V13:V14" si="21">B3*$W$3</f>
        <v>0.125</v>
      </c>
      <c r="W13" s="1">
        <f t="shared" si="18"/>
        <v>0</v>
      </c>
      <c r="X13" s="22">
        <f t="shared" si="18"/>
        <v>0.25</v>
      </c>
      <c r="Y13" s="1"/>
      <c r="AA13" s="21">
        <f t="shared" ref="AA13:AA14" si="22">B3*$AB$3</f>
        <v>0.35355339059327373</v>
      </c>
      <c r="AB13" s="1">
        <f t="shared" ref="AB13:AB14" si="23">C3*$AB$3</f>
        <v>0</v>
      </c>
      <c r="AC13" s="22">
        <f t="shared" ref="AC13:AC14" si="24">D3*$AB$3</f>
        <v>0.70710678118654746</v>
      </c>
    </row>
    <row r="14" spans="1:29" x14ac:dyDescent="0.25">
      <c r="H14" t="str">
        <f ca="1">_xlfn.FORMULATEXT(H13)</f>
        <v>=SQRT(SUMSQ(H9:H11))</v>
      </c>
      <c r="O14" s="18">
        <f t="shared" ref="O14:Q16" si="25">B2/SQRT(SUMSQ($B$2:$D$4))</f>
        <v>0.19611613513818404</v>
      </c>
      <c r="P14" s="19">
        <f t="shared" si="25"/>
        <v>0.29417420270727607</v>
      </c>
      <c r="Q14" s="20">
        <f t="shared" si="25"/>
        <v>0.39223227027636809</v>
      </c>
      <c r="R14" t="str">
        <f ca="1">_xlfn.FORMULATEXT(O14)</f>
        <v>=B2/SQRT(SUMSQ($B$2:$D$4))</v>
      </c>
      <c r="V14" s="23">
        <f t="shared" si="21"/>
        <v>0.375</v>
      </c>
      <c r="W14" s="24">
        <f t="shared" si="18"/>
        <v>0.625</v>
      </c>
      <c r="X14" s="25">
        <f t="shared" si="18"/>
        <v>0.75</v>
      </c>
      <c r="Y14" s="1"/>
      <c r="AA14" s="23">
        <f t="shared" si="22"/>
        <v>1.0606601717798212</v>
      </c>
      <c r="AB14" s="24">
        <f t="shared" si="23"/>
        <v>1.7677669529663687</v>
      </c>
      <c r="AC14" s="25">
        <f t="shared" si="24"/>
        <v>2.1213203435596424</v>
      </c>
    </row>
    <row r="15" spans="1:29" x14ac:dyDescent="0.25">
      <c r="B15" t="s">
        <v>8</v>
      </c>
      <c r="O15" s="21">
        <f t="shared" si="25"/>
        <v>9.8058067569092022E-2</v>
      </c>
      <c r="P15" s="1">
        <f t="shared" si="25"/>
        <v>0</v>
      </c>
      <c r="Q15" s="22">
        <f t="shared" si="25"/>
        <v>0.19611613513818404</v>
      </c>
      <c r="V15" t="str">
        <f ca="1">_xlfn.FORMULATEXT(V12)</f>
        <v>=B2*$W$3</v>
      </c>
      <c r="AA15" t="str">
        <f ca="1">_xlfn.FORMULATEXT(AA12)</f>
        <v>=B2*$AB$3</v>
      </c>
    </row>
    <row r="16" spans="1:29" x14ac:dyDescent="0.25">
      <c r="B16" s="18">
        <f>B2-AVERAGE($B2:$D2)</f>
        <v>-1</v>
      </c>
      <c r="C16" s="19">
        <f t="shared" ref="C16:D16" si="26">C2-AVERAGE($B2:$D2)</f>
        <v>0</v>
      </c>
      <c r="D16" s="20">
        <f t="shared" si="26"/>
        <v>1</v>
      </c>
      <c r="E16" s="3">
        <f>AVERAGE(B16:D16)</f>
        <v>0</v>
      </c>
      <c r="F16" t="str">
        <f ca="1">_xlfn.FORMULATEXT(E16)</f>
        <v>=AVERAGE(B16:D16)</v>
      </c>
      <c r="H16" t="s">
        <v>3</v>
      </c>
      <c r="O16" s="23">
        <f t="shared" si="25"/>
        <v>0.29417420270727607</v>
      </c>
      <c r="P16" s="24">
        <f t="shared" si="25"/>
        <v>0.49029033784546011</v>
      </c>
      <c r="Q16" s="25">
        <f t="shared" si="25"/>
        <v>0.58834840541455213</v>
      </c>
    </row>
    <row r="17" spans="2:19" x14ac:dyDescent="0.25">
      <c r="B17" s="21">
        <f t="shared" ref="B17:D17" si="27">B3-AVERAGE($B3:$D3)</f>
        <v>0</v>
      </c>
      <c r="C17" s="1">
        <f t="shared" si="27"/>
        <v>-1</v>
      </c>
      <c r="D17" s="22">
        <f t="shared" si="27"/>
        <v>1</v>
      </c>
      <c r="E17" s="3">
        <f t="shared" ref="E17:E18" si="28">AVERAGE(B17:D17)</f>
        <v>0</v>
      </c>
      <c r="H17" s="18">
        <f t="shared" ref="H17:J19" si="29">B2/$E2</f>
        <v>0.37139067635410372</v>
      </c>
      <c r="I17" s="19">
        <f t="shared" si="29"/>
        <v>0.55708601453115558</v>
      </c>
      <c r="J17" s="20">
        <f t="shared" si="29"/>
        <v>0.74278135270820744</v>
      </c>
      <c r="K17" s="3">
        <f>SQRT(SUMSQ(H17:J17))</f>
        <v>1</v>
      </c>
      <c r="L17" t="str">
        <f ca="1">_xlfn.FORMULATEXT(K17)</f>
        <v>=SQRT(SUMSQ(H17:J17))</v>
      </c>
      <c r="R17">
        <f>SUMSQ(O14:Q16)</f>
        <v>1.0000000000000002</v>
      </c>
      <c r="S17" t="str">
        <f ca="1">_xlfn.FORMULATEXT(R17)</f>
        <v>=SUMSQ(O14:Q16)</v>
      </c>
    </row>
    <row r="18" spans="2:19" x14ac:dyDescent="0.25">
      <c r="B18" s="23">
        <f t="shared" ref="B18:D18" si="30">B4-AVERAGE($B4:$D4)</f>
        <v>-1.666666666666667</v>
      </c>
      <c r="C18" s="24">
        <f t="shared" si="30"/>
        <v>0.33333333333333304</v>
      </c>
      <c r="D18" s="25">
        <f t="shared" si="30"/>
        <v>1.333333333333333</v>
      </c>
      <c r="E18" s="3">
        <f t="shared" si="28"/>
        <v>0</v>
      </c>
      <c r="H18" s="21">
        <f t="shared" si="29"/>
        <v>0.44721359549995793</v>
      </c>
      <c r="I18" s="1">
        <f t="shared" si="29"/>
        <v>0</v>
      </c>
      <c r="J18" s="22">
        <f t="shared" si="29"/>
        <v>0.89442719099991586</v>
      </c>
      <c r="K18" s="3">
        <f t="shared" ref="K18:K19" si="31">SQRT(SUMSQ(H18:J18))</f>
        <v>1</v>
      </c>
    </row>
    <row r="19" spans="2:19" x14ac:dyDescent="0.25">
      <c r="B19" s="1" t="str">
        <f ca="1">_xlfn.FORMULATEXT(B16)</f>
        <v>=B2-AVERAGE($B2:$D2)</v>
      </c>
      <c r="C19" s="1"/>
      <c r="D19" s="1"/>
      <c r="H19" s="23">
        <f t="shared" si="29"/>
        <v>0.35856858280031806</v>
      </c>
      <c r="I19" s="24">
        <f t="shared" si="29"/>
        <v>0.59761430466719678</v>
      </c>
      <c r="J19" s="25">
        <f t="shared" si="29"/>
        <v>0.71713716560063612</v>
      </c>
      <c r="K19" s="3">
        <f t="shared" si="31"/>
        <v>1</v>
      </c>
    </row>
    <row r="20" spans="2:19" x14ac:dyDescent="0.25">
      <c r="H20" s="1" t="str">
        <f ca="1">_xlfn.FORMULATEXT(H17)</f>
        <v>=B2/$E2</v>
      </c>
      <c r="I20" s="1"/>
      <c r="J20" s="1"/>
      <c r="K2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F2C25-033F-4827-9AF8-B9190435255D}">
  <dimension ref="A1:AA53"/>
  <sheetViews>
    <sheetView workbookViewId="0">
      <selection activeCell="Z25" sqref="Z25"/>
    </sheetView>
  </sheetViews>
  <sheetFormatPr defaultRowHeight="15" x14ac:dyDescent="0.25"/>
  <cols>
    <col min="2" max="2" width="9.140625" bestFit="1" customWidth="1"/>
    <col min="15" max="15" width="10.7109375" customWidth="1"/>
  </cols>
  <sheetData>
    <row r="1" spans="1:24" ht="18.75" thickBot="1" x14ac:dyDescent="0.4">
      <c r="A1" s="51" t="s">
        <v>82</v>
      </c>
      <c r="B1" s="50" t="s">
        <v>83</v>
      </c>
      <c r="C1" s="50" t="s">
        <v>84</v>
      </c>
      <c r="D1" s="50" t="s">
        <v>85</v>
      </c>
      <c r="E1" s="49" t="s">
        <v>86</v>
      </c>
      <c r="F1" s="42" t="s">
        <v>87</v>
      </c>
      <c r="G1" s="66">
        <v>6</v>
      </c>
      <c r="H1" t="s">
        <v>88</v>
      </c>
      <c r="J1" t="s">
        <v>99</v>
      </c>
      <c r="P1" s="46" t="s">
        <v>101</v>
      </c>
      <c r="Q1" s="45"/>
      <c r="R1" s="45"/>
      <c r="S1" s="44"/>
    </row>
    <row r="2" spans="1:24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 t="s">
        <v>90</v>
      </c>
      <c r="G2" s="66">
        <v>4</v>
      </c>
      <c r="H2" t="s">
        <v>91</v>
      </c>
      <c r="J2" s="68"/>
      <c r="K2" s="68" t="s">
        <v>103</v>
      </c>
      <c r="L2" s="68" t="s">
        <v>104</v>
      </c>
      <c r="M2" s="68" t="s">
        <v>105</v>
      </c>
      <c r="N2" s="68" t="s">
        <v>106</v>
      </c>
      <c r="P2" s="82" cm="1">
        <f t="array" ref="P2:S5">MMULT(TRANSPOSE(B12:E17),B12:E17)</f>
        <v>12</v>
      </c>
      <c r="Q2" s="83">
        <v>10</v>
      </c>
      <c r="R2" s="83">
        <v>-8</v>
      </c>
      <c r="S2" s="84">
        <v>-12</v>
      </c>
    </row>
    <row r="3" spans="1:24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 t="s">
        <v>93</v>
      </c>
      <c r="G3" s="66">
        <f>G1*G2</f>
        <v>24</v>
      </c>
      <c r="J3" t="s">
        <v>103</v>
      </c>
      <c r="K3" s="1">
        <f>VARP($B$12:$B$17)</f>
        <v>2</v>
      </c>
      <c r="L3" s="1">
        <f>K4</f>
        <v>1.67</v>
      </c>
      <c r="M3" s="1">
        <f>K5</f>
        <v>-1.33</v>
      </c>
      <c r="N3" s="1">
        <f>K6</f>
        <v>-2</v>
      </c>
      <c r="P3" s="77">
        <v>10</v>
      </c>
      <c r="Q3" s="1">
        <v>12</v>
      </c>
      <c r="R3" s="1">
        <v>-8.9999999999999982</v>
      </c>
      <c r="S3" s="78">
        <v>-10</v>
      </c>
    </row>
    <row r="4" spans="1:24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 t="s">
        <v>32</v>
      </c>
      <c r="G4">
        <v>6</v>
      </c>
      <c r="H4" t="s">
        <v>133</v>
      </c>
      <c r="J4" t="s">
        <v>104</v>
      </c>
      <c r="K4" s="1">
        <v>1.67</v>
      </c>
      <c r="L4" s="1">
        <f>VARP($C$12:$C$17)</f>
        <v>2</v>
      </c>
      <c r="M4" s="1">
        <f>L5</f>
        <v>-1.5</v>
      </c>
      <c r="N4" s="1">
        <f>L6</f>
        <v>-1.67</v>
      </c>
      <c r="P4" s="77">
        <v>-8</v>
      </c>
      <c r="Q4" s="1">
        <v>-8.9999999999999982</v>
      </c>
      <c r="R4" s="1">
        <v>7.3333333333333348</v>
      </c>
      <c r="S4" s="78">
        <v>8</v>
      </c>
    </row>
    <row r="5" spans="1:24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 t="s">
        <v>134</v>
      </c>
      <c r="G5" s="71">
        <f>G4-1</f>
        <v>5</v>
      </c>
      <c r="J5" t="s">
        <v>105</v>
      </c>
      <c r="K5" s="1">
        <v>-1.33</v>
      </c>
      <c r="L5" s="1">
        <v>-1.5</v>
      </c>
      <c r="M5" s="1">
        <f>VARP($D$12:$D$17)</f>
        <v>1.2222222222222223</v>
      </c>
      <c r="N5" s="1">
        <f>M6</f>
        <v>1.33</v>
      </c>
      <c r="P5" s="79">
        <v>-12</v>
      </c>
      <c r="Q5" s="69">
        <v>-10</v>
      </c>
      <c r="R5" s="69">
        <v>8</v>
      </c>
      <c r="S5" s="80">
        <v>12</v>
      </c>
    </row>
    <row r="6" spans="1:24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F6" s="96" t="s">
        <v>158</v>
      </c>
      <c r="G6" s="73">
        <f>1/G5</f>
        <v>0.2</v>
      </c>
      <c r="H6" t="str">
        <f ca="1">_xlfn.FORMULATEXT(G6)</f>
        <v>=1/G5</v>
      </c>
      <c r="J6" s="56" t="s">
        <v>106</v>
      </c>
      <c r="K6" s="69">
        <v>-2</v>
      </c>
      <c r="L6" s="69">
        <v>-1.67</v>
      </c>
      <c r="M6" s="69">
        <v>1.33</v>
      </c>
      <c r="N6" s="69">
        <f>VARP($E$12:$E$17)</f>
        <v>2</v>
      </c>
      <c r="P6" t="str">
        <f ca="1">_xlfn.FORMULATEXT(P2)</f>
        <v>=MMULT(TRANSPOSE(B12:E17),B12:E17)</v>
      </c>
    </row>
    <row r="7" spans="1:24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4</v>
      </c>
    </row>
    <row r="8" spans="1:24" ht="18.75" thickBot="1" x14ac:dyDescent="0.4">
      <c r="A8" s="53" t="s">
        <v>98</v>
      </c>
      <c r="B8" s="69">
        <f>AVERAGE(B2:B7)</f>
        <v>3</v>
      </c>
      <c r="C8" s="69">
        <f t="shared" ref="C8:E8" si="0">AVERAGE(C2:C7)</f>
        <v>3</v>
      </c>
      <c r="D8" s="69">
        <f t="shared" si="0"/>
        <v>3.3333333333333335</v>
      </c>
      <c r="E8" s="80">
        <f t="shared" si="0"/>
        <v>3</v>
      </c>
      <c r="J8" s="46" t="s">
        <v>130</v>
      </c>
      <c r="K8" s="45"/>
      <c r="L8" s="45"/>
      <c r="M8" s="45"/>
      <c r="N8" s="44"/>
      <c r="P8" s="46" t="s">
        <v>232</v>
      </c>
      <c r="Q8" s="45" t="s">
        <v>102</v>
      </c>
      <c r="R8" s="45"/>
      <c r="S8" s="44"/>
    </row>
    <row r="9" spans="1:24" x14ac:dyDescent="0.25">
      <c r="B9" s="1" t="str">
        <f ca="1">_xlfn.FORMULATEXT(B8)</f>
        <v>=AVERAGE(B2:B7)</v>
      </c>
      <c r="J9" s="82">
        <f>_xlfn.VAR.P($B$12:$B$17,B12:B17)</f>
        <v>2</v>
      </c>
      <c r="K9" s="83" t="str">
        <f ca="1">_xlfn.FORMULATEXT(J9)</f>
        <v>=VAR.P($B$12:$B$17,B12:B17)</v>
      </c>
      <c r="L9" s="83"/>
      <c r="M9" s="83"/>
      <c r="N9" s="49"/>
      <c r="P9" s="82" cm="1">
        <f t="array" ref="P9:S12">G6*P2:S5</f>
        <v>2.4000000000000004</v>
      </c>
      <c r="Q9" s="83">
        <v>2</v>
      </c>
      <c r="R9" s="83">
        <v>-1.6</v>
      </c>
      <c r="S9" s="84">
        <v>-2.4000000000000004</v>
      </c>
    </row>
    <row r="10" spans="1:24" ht="15.75" thickBot="1" x14ac:dyDescent="0.3">
      <c r="J10" s="77">
        <f>_xlfn.COVARIANCE.P($B$12:$B$17,C12:C17)</f>
        <v>1.6666666666666667</v>
      </c>
      <c r="K10" s="1">
        <f>_xlfn.VAR.P($C$12:$C$17,C12:C17)</f>
        <v>2</v>
      </c>
      <c r="L10" s="1"/>
      <c r="M10" s="1"/>
      <c r="N10" s="47"/>
      <c r="P10" s="77">
        <v>2</v>
      </c>
      <c r="Q10" s="1">
        <v>2.4000000000000004</v>
      </c>
      <c r="R10" s="1">
        <v>-1.7999999999999998</v>
      </c>
      <c r="S10" s="78">
        <v>-2</v>
      </c>
    </row>
    <row r="11" spans="1:24" ht="18.75" thickBot="1" x14ac:dyDescent="0.4">
      <c r="A11" s="46" t="s">
        <v>100</v>
      </c>
      <c r="B11" s="45"/>
      <c r="C11" s="45"/>
      <c r="D11" s="45"/>
      <c r="E11" s="44"/>
      <c r="J11" s="77">
        <f>_xlfn.COVARIANCE.P($B$12:$B$17,D12:D17)</f>
        <v>-1.3333333333333333</v>
      </c>
      <c r="K11" s="1">
        <f>_xlfn.COVARIANCE.P($C$12:$C$17,D12:D17)</f>
        <v>-1.5</v>
      </c>
      <c r="L11" s="1">
        <f>_xlfn.VAR.P($D$12:$D$17,D12:D17)</f>
        <v>1.2222222222222223</v>
      </c>
      <c r="M11" s="1"/>
      <c r="N11" s="47"/>
      <c r="O11" s="1"/>
      <c r="P11" s="77">
        <v>-1.6</v>
      </c>
      <c r="Q11" s="1">
        <v>-1.7999999999999998</v>
      </c>
      <c r="R11" s="1">
        <v>1.466666666666667</v>
      </c>
      <c r="S11" s="78">
        <v>1.6</v>
      </c>
    </row>
    <row r="12" spans="1:24" ht="15.75" thickBot="1" x14ac:dyDescent="0.3">
      <c r="A12" s="51"/>
      <c r="B12" s="83">
        <f t="shared" ref="B12:E17" si="1">B2-B$8</f>
        <v>2</v>
      </c>
      <c r="C12" s="83">
        <f t="shared" si="1"/>
        <v>1</v>
      </c>
      <c r="D12" s="83">
        <f t="shared" si="1"/>
        <v>-1.3333333333333335</v>
      </c>
      <c r="E12" s="84">
        <f t="shared" si="1"/>
        <v>-2</v>
      </c>
      <c r="F12" s="1" t="str">
        <f ca="1">_xlfn.FORMULATEXT(B12)</f>
        <v>=B2-B$8</v>
      </c>
      <c r="J12" s="79">
        <f>_xlfn.COVARIANCE.P($B$12:$B$17,E12:E17)</f>
        <v>-2</v>
      </c>
      <c r="K12" s="69">
        <f>_xlfn.COVARIANCE.P($C$12:$C$17,C14:C19)</f>
        <v>-0.67999999999999994</v>
      </c>
      <c r="L12" s="69">
        <f>_xlfn.COVARIANCE.P($D$12:$D$17,E12:E17)</f>
        <v>1.3333333333333333</v>
      </c>
      <c r="M12" s="69">
        <f>_xlfn.VAR.P(E12:E17,E12:E17)</f>
        <v>2</v>
      </c>
      <c r="N12" s="52"/>
      <c r="O12" s="1"/>
      <c r="P12" s="79">
        <v>-2.4000000000000004</v>
      </c>
      <c r="Q12" s="69">
        <v>-2</v>
      </c>
      <c r="R12" s="69">
        <v>1.6</v>
      </c>
      <c r="S12" s="80">
        <v>2.4000000000000004</v>
      </c>
    </row>
    <row r="13" spans="1:24" x14ac:dyDescent="0.25">
      <c r="A13" s="48"/>
      <c r="B13" s="1">
        <f t="shared" si="1"/>
        <v>1</v>
      </c>
      <c r="C13" s="1">
        <f t="shared" si="1"/>
        <v>2</v>
      </c>
      <c r="D13" s="1">
        <f t="shared" si="1"/>
        <v>-1.3333333333333335</v>
      </c>
      <c r="E13" s="78">
        <f t="shared" si="1"/>
        <v>-1</v>
      </c>
      <c r="J13" t="str">
        <f ca="1">_xlfn.FORMULATEXT(J12)</f>
        <v>=COVARIANCE.P($B$12:$B$17,E12:E17)</v>
      </c>
      <c r="O13" s="1"/>
      <c r="P13" s="1" t="str">
        <f ca="1">_xlfn.FORMULATEXT(P9)</f>
        <v>=G6*P2:S5</v>
      </c>
      <c r="Q13" s="1"/>
      <c r="R13" s="1"/>
      <c r="S13" s="1"/>
    </row>
    <row r="14" spans="1:24" ht="15.75" thickBot="1" x14ac:dyDescent="0.3">
      <c r="A14" s="48"/>
      <c r="B14" s="1">
        <f t="shared" si="1"/>
        <v>-2</v>
      </c>
      <c r="C14" s="1">
        <f t="shared" si="1"/>
        <v>-1</v>
      </c>
      <c r="D14" s="1">
        <f t="shared" si="1"/>
        <v>0.66666666666666652</v>
      </c>
      <c r="E14" s="78">
        <f t="shared" si="1"/>
        <v>2</v>
      </c>
      <c r="P14" s="1"/>
      <c r="Q14" s="1"/>
      <c r="R14" s="1"/>
      <c r="S14" s="1"/>
    </row>
    <row r="15" spans="1:24" ht="15.75" thickBot="1" x14ac:dyDescent="0.3">
      <c r="A15" s="48"/>
      <c r="B15" s="1">
        <f t="shared" si="1"/>
        <v>-1</v>
      </c>
      <c r="C15" s="1">
        <f t="shared" si="1"/>
        <v>-2</v>
      </c>
      <c r="D15" s="1">
        <f t="shared" si="1"/>
        <v>1.6666666666666665</v>
      </c>
      <c r="E15" s="78">
        <f t="shared" si="1"/>
        <v>1</v>
      </c>
      <c r="J15" s="46" t="s">
        <v>131</v>
      </c>
      <c r="K15" s="45"/>
      <c r="L15" s="45"/>
      <c r="M15" s="44"/>
      <c r="P15" s="81" t="s">
        <v>107</v>
      </c>
      <c r="Q15" s="86"/>
      <c r="R15" s="86"/>
      <c r="S15" s="87"/>
      <c r="U15" s="46" t="s">
        <v>144</v>
      </c>
      <c r="V15" s="45"/>
      <c r="W15" s="45"/>
      <c r="X15" s="44"/>
    </row>
    <row r="16" spans="1:24" x14ac:dyDescent="0.25">
      <c r="A16" s="48"/>
      <c r="B16" s="1">
        <f t="shared" si="1"/>
        <v>1</v>
      </c>
      <c r="C16" s="1">
        <f t="shared" si="1"/>
        <v>1</v>
      </c>
      <c r="D16" s="1">
        <f t="shared" si="1"/>
        <v>-0.33333333333333348</v>
      </c>
      <c r="E16" s="78">
        <f t="shared" si="1"/>
        <v>-1</v>
      </c>
      <c r="J16" s="82">
        <f>_xlfn.COVARIANCE.S($B$12:$B$17,B12:B17)</f>
        <v>2.4</v>
      </c>
      <c r="K16" s="83">
        <f>_xlfn.COVARIANCE.S(B$12:B$17,$C$12:$C$17)</f>
        <v>2</v>
      </c>
      <c r="L16" s="83">
        <f>_xlfn.COVARIANCE.S(B$12:B$17,$D$12:$D$17)</f>
        <v>-1.6</v>
      </c>
      <c r="M16" s="84">
        <f>_xlfn.COVARIANCE.S(B$12:B$17,$E$12:$E$17)</f>
        <v>-2.4</v>
      </c>
      <c r="P16" s="95" cm="1">
        <f t="array" ref="P16:S19">G6*(MMULT(TRANSPOSE(B12:E17),B12:E17))</f>
        <v>2.4000000000000004</v>
      </c>
      <c r="Q16" s="83">
        <v>2</v>
      </c>
      <c r="R16" s="83">
        <v>-1.6</v>
      </c>
      <c r="S16" s="84">
        <v>-2.4000000000000004</v>
      </c>
      <c r="U16" s="82" t="e" cm="1">
        <f t="array" ref="U16">MINVERSE(J23:M26)</f>
        <v>#NUM!</v>
      </c>
      <c r="V16" s="83"/>
      <c r="W16" s="83"/>
      <c r="X16" s="84"/>
    </row>
    <row r="17" spans="1:27" ht="15.75" thickBot="1" x14ac:dyDescent="0.3">
      <c r="A17" s="53"/>
      <c r="B17" s="69">
        <f t="shared" si="1"/>
        <v>-1</v>
      </c>
      <c r="C17" s="69">
        <f t="shared" si="1"/>
        <v>-1</v>
      </c>
      <c r="D17" s="69">
        <f t="shared" si="1"/>
        <v>0.66666666666666652</v>
      </c>
      <c r="E17" s="80">
        <f t="shared" si="1"/>
        <v>1</v>
      </c>
      <c r="J17" s="77">
        <f>_xlfn.COVARIANCE.S($B$12:$B$17,C12:C17)</f>
        <v>2</v>
      </c>
      <c r="K17" s="1">
        <f>_xlfn.COVARIANCE.S(C$12:C$17,$C$12:$C$17)</f>
        <v>2.4</v>
      </c>
      <c r="L17" s="1">
        <f>_xlfn.COVARIANCE.S(C$12:C$17,$D$12:$D$17)</f>
        <v>-1.8</v>
      </c>
      <c r="M17" s="78">
        <f>_xlfn.COVARIANCE.S(C$12:C$17,$E$12:$E$17)</f>
        <v>-2</v>
      </c>
      <c r="P17" s="77">
        <v>2</v>
      </c>
      <c r="Q17" s="1">
        <v>2.4000000000000004</v>
      </c>
      <c r="R17" s="1">
        <v>-1.7999999999999998</v>
      </c>
      <c r="S17" s="78">
        <v>-2</v>
      </c>
      <c r="U17" s="77"/>
      <c r="V17" s="1"/>
      <c r="W17" s="1"/>
      <c r="X17" s="78"/>
    </row>
    <row r="18" spans="1:27" ht="15.75" thickBot="1" x14ac:dyDescent="0.3">
      <c r="A18" s="46" t="s">
        <v>98</v>
      </c>
      <c r="B18" s="86">
        <f>AVERAGE(B12:B17)</f>
        <v>0</v>
      </c>
      <c r="C18" s="86">
        <f t="shared" ref="C18:E18" si="2">AVERAGE(C12:C17)</f>
        <v>0</v>
      </c>
      <c r="D18" s="86">
        <f t="shared" si="2"/>
        <v>-1.4802973661668753E-16</v>
      </c>
      <c r="E18" s="87">
        <f t="shared" si="2"/>
        <v>0</v>
      </c>
      <c r="J18" s="77">
        <f>_xlfn.COVARIANCE.S($B$12:$B$17,D12:D17)</f>
        <v>-1.6</v>
      </c>
      <c r="K18" s="1">
        <f>_xlfn.COVARIANCE.S(D$12:D$17,$C$12:$C$17)</f>
        <v>-1.8</v>
      </c>
      <c r="L18" s="1">
        <f>_xlfn.COVARIANCE.S(D$12:D$17,$D$12:$D$17)</f>
        <v>1.4666666666666668</v>
      </c>
      <c r="M18" s="78">
        <f>_xlfn.COVARIANCE.S(D$12:D$17,$E$12:$E$17)</f>
        <v>1.6</v>
      </c>
      <c r="P18" s="77">
        <v>-1.6</v>
      </c>
      <c r="Q18" s="1">
        <v>-1.7999999999999998</v>
      </c>
      <c r="R18" s="1">
        <v>1.466666666666667</v>
      </c>
      <c r="S18" s="78">
        <v>1.6</v>
      </c>
      <c r="T18" s="1"/>
      <c r="U18" s="77"/>
      <c r="V18" s="1"/>
      <c r="W18" s="1"/>
      <c r="X18" s="78"/>
    </row>
    <row r="19" spans="1:27" ht="15.75" thickBot="1" x14ac:dyDescent="0.3">
      <c r="B19" s="1" t="str">
        <f ca="1">_xlfn.FORMULATEXT(B18)</f>
        <v>=AVERAGE(B12:B17)</v>
      </c>
      <c r="J19" s="79">
        <f>_xlfn.COVARIANCE.S($B$12:$B$17,E12:E17)</f>
        <v>-2.4</v>
      </c>
      <c r="K19" s="69">
        <f>_xlfn.COVARIANCE.S(E$12:E$17,$C$12:$C$17)</f>
        <v>-2</v>
      </c>
      <c r="L19" s="69">
        <f>_xlfn.COVARIANCE.S(E$12:E$17,$D$12:$D$17)</f>
        <v>1.6</v>
      </c>
      <c r="M19" s="80">
        <f>_xlfn.COVARIANCE.S(E$12:E$17,$E$12:$E$17)</f>
        <v>2.4</v>
      </c>
      <c r="P19" s="79">
        <v>-2.4000000000000004</v>
      </c>
      <c r="Q19" s="69">
        <v>-2</v>
      </c>
      <c r="R19" s="69">
        <v>1.6</v>
      </c>
      <c r="S19" s="80">
        <v>2.4000000000000004</v>
      </c>
      <c r="T19" s="1"/>
      <c r="U19" s="79"/>
      <c r="V19" s="69"/>
      <c r="W19" s="69"/>
      <c r="X19" s="80"/>
    </row>
    <row r="20" spans="1:27" x14ac:dyDescent="0.25">
      <c r="J20" t="str">
        <f ca="1">_xlfn.FORMULATEXT(J16)</f>
        <v>=COVARIANCE.S($B$12:$B$17,B12:B17)</v>
      </c>
      <c r="P20" s="1" t="str">
        <f ca="1">_xlfn.FORMULATEXT(P16)</f>
        <v>=G6*(MMULT(TRANSPOSE(B12:E17),B12:E17))</v>
      </c>
      <c r="Q20" s="1"/>
      <c r="S20" s="1"/>
      <c r="T20" s="1"/>
      <c r="U20" s="1" t="str">
        <f ca="1">_xlfn.FORMULATEXT(U16)</f>
        <v>=MINVERSE(J23:M26)</v>
      </c>
      <c r="V20" s="1"/>
    </row>
    <row r="21" spans="1:27" ht="15.75" thickBot="1" x14ac:dyDescent="0.3">
      <c r="T21" s="1"/>
      <c r="U21" s="1"/>
      <c r="V21" s="1"/>
    </row>
    <row r="22" spans="1:27" ht="15.75" thickBot="1" x14ac:dyDescent="0.3">
      <c r="B22" s="1"/>
      <c r="C22" s="1"/>
      <c r="D22" s="1"/>
      <c r="E22" s="1"/>
      <c r="F22" s="1"/>
      <c r="G22" s="67"/>
      <c r="J22" s="81" t="s">
        <v>129</v>
      </c>
      <c r="K22" s="45"/>
      <c r="L22" s="45"/>
      <c r="M22" s="44"/>
      <c r="P22" t="s">
        <v>132</v>
      </c>
      <c r="W22" s="1"/>
      <c r="X22" s="1"/>
      <c r="Y22" s="1"/>
    </row>
    <row r="23" spans="1:27" ht="15.75" thickBot="1" x14ac:dyDescent="0.3">
      <c r="B23" s="1"/>
      <c r="C23" s="1"/>
      <c r="D23" s="1"/>
      <c r="E23" s="1"/>
      <c r="J23" s="82">
        <f>SUMPRODUCT($B$12:$B$17,B$12:B$17)/(COUNT(B$12:B$17)-1)</f>
        <v>2.4</v>
      </c>
      <c r="K23" s="83">
        <f>SUMPRODUCT(B$12:B$17,C$12:C$17)/(COUNT(C$12:C$17)-1)</f>
        <v>2</v>
      </c>
      <c r="L23" s="83">
        <f>SUMPRODUCT(B$12:B$17,D$12:D$17)/(COUNT(D$12:D$17)-1)</f>
        <v>-1.6</v>
      </c>
      <c r="M23" s="84">
        <f>SUMPRODUCT(B$12:B$17,E$12:E$17)/(COUNT(E$12:E$17)-1)</f>
        <v>-2.4</v>
      </c>
      <c r="N23" s="1"/>
      <c r="P23" s="64">
        <f>MDETERM(P16:S19)</f>
        <v>0</v>
      </c>
      <c r="Q23" t="str">
        <f ca="1">_xlfn.FORMULATEXT(P23)</f>
        <v>=MDETERM(P16:S19)</v>
      </c>
      <c r="W23" s="1"/>
      <c r="X23" s="1"/>
      <c r="Y23" s="1"/>
      <c r="AA23" s="1"/>
    </row>
    <row r="24" spans="1:27" x14ac:dyDescent="0.25">
      <c r="B24" s="1"/>
      <c r="C24" s="1"/>
      <c r="D24" s="1"/>
      <c r="E24" s="1"/>
      <c r="J24" s="77">
        <f>SUMPRODUCT($B$12:$B$17,C$12:C$17)/(COUNT(C$12:C$17)-1)</f>
        <v>2</v>
      </c>
      <c r="K24" s="1">
        <f>SUMPRODUCT(C$12:C$17,C$12:C$17)/(COUNT(C$12:C$17)-1)</f>
        <v>2.4</v>
      </c>
      <c r="L24" s="1">
        <f>SUMPRODUCT(C$12:C$17,D$12:D$17)/(COUNT(D$12:D$17)-1)</f>
        <v>-1.7999999999999996</v>
      </c>
      <c r="M24" s="78">
        <f>SUMPRODUCT(C$12:C$17,E$12:E$17)/(COUNT(E$12:E$17)-1)</f>
        <v>-2</v>
      </c>
      <c r="N24" s="1"/>
      <c r="W24" s="1"/>
      <c r="X24" s="1"/>
      <c r="AA24" s="1"/>
    </row>
    <row r="25" spans="1:27" x14ac:dyDescent="0.25">
      <c r="B25" s="1"/>
      <c r="C25" s="1"/>
      <c r="D25" s="1"/>
      <c r="E25" s="1"/>
      <c r="J25" s="77">
        <f>SUMPRODUCT($B$12:$B$17,D$12:D$17)/(COUNT(D$12:D$17)-1)</f>
        <v>-1.6</v>
      </c>
      <c r="K25" s="1">
        <f>SUMPRODUCT(D$12:D$17,C$12:C$17)/(COUNT(C$12:C$17)-1)</f>
        <v>-1.7999999999999996</v>
      </c>
      <c r="L25" s="1">
        <f>SUMPRODUCT(D$12:D$17,D$12:D$17)/(COUNT(D$12:D$17)-1)</f>
        <v>1.466666666666667</v>
      </c>
      <c r="M25" s="78">
        <f>SUMPRODUCT(D$12:D$17,E$12:E$17)/(COUNT(E$12:E$17)-1)</f>
        <v>1.6</v>
      </c>
      <c r="N25" s="1"/>
      <c r="W25" s="1"/>
      <c r="X25" s="1"/>
      <c r="AA25" s="1"/>
    </row>
    <row r="26" spans="1:27" ht="15.75" thickBot="1" x14ac:dyDescent="0.3">
      <c r="B26" s="1"/>
      <c r="C26" s="1"/>
      <c r="D26" s="1"/>
      <c r="E26" s="1"/>
      <c r="J26" s="79">
        <f>SUMPRODUCT($B$12:$B$17,E$12:E$17)/(COUNT(E$12:E$17)-1)</f>
        <v>-2.4</v>
      </c>
      <c r="K26" s="69">
        <f>SUMPRODUCT(E$12:E$17,C$12:C$17)/(COUNT(C$12:C$17)-1)</f>
        <v>-2</v>
      </c>
      <c r="L26" s="69">
        <f>SUMPRODUCT(E$12:E$17,D$12:D$17)/(COUNT(D$12:D$17)-1)</f>
        <v>1.6</v>
      </c>
      <c r="M26" s="80">
        <f>SUMPRODUCT(E$12:E$17,E$12:E$17)/(COUNT(E$12:E$17)-1)</f>
        <v>2.4</v>
      </c>
      <c r="N26" s="1"/>
      <c r="X26" s="1"/>
      <c r="AA26" s="1"/>
    </row>
    <row r="27" spans="1:27" x14ac:dyDescent="0.25">
      <c r="B27" s="1"/>
      <c r="C27" s="1"/>
      <c r="D27" s="1"/>
      <c r="E27" s="1"/>
      <c r="J27" s="1" t="str">
        <f ca="1">_xlfn.FORMULATEXT(J23)</f>
        <v>=SUMPRODUCT($B$12:$B$17,B$12:B$17)/(COUNT(B$12:B$17)-1)</v>
      </c>
      <c r="K27" s="1"/>
      <c r="L27" s="1"/>
      <c r="M27" s="1"/>
      <c r="N27" s="1"/>
      <c r="W27" s="1"/>
      <c r="X27" s="1"/>
    </row>
    <row r="28" spans="1:27" x14ac:dyDescent="0.25">
      <c r="B28" s="1"/>
      <c r="C28" s="1"/>
      <c r="D28" s="1"/>
      <c r="E28" s="1"/>
      <c r="N28" s="1"/>
      <c r="W28" s="1"/>
      <c r="X28" s="1"/>
    </row>
    <row r="29" spans="1:27" x14ac:dyDescent="0.25">
      <c r="B29" s="1"/>
      <c r="N29" s="1"/>
    </row>
    <row r="30" spans="1:27" x14ac:dyDescent="0.25">
      <c r="N30" s="1"/>
      <c r="W30" s="1"/>
      <c r="X30" s="1"/>
      <c r="Y30" s="1"/>
      <c r="Z30" s="1"/>
    </row>
    <row r="34" spans="10:19" x14ac:dyDescent="0.25">
      <c r="N34" s="1"/>
    </row>
    <row r="35" spans="10:19" x14ac:dyDescent="0.25">
      <c r="N35" s="1"/>
    </row>
    <row r="36" spans="10:19" x14ac:dyDescent="0.25">
      <c r="N36" s="1"/>
    </row>
    <row r="37" spans="10:19" x14ac:dyDescent="0.25">
      <c r="N37" s="1"/>
    </row>
    <row r="38" spans="10:19" x14ac:dyDescent="0.25">
      <c r="N38" s="1"/>
      <c r="P38" s="1"/>
      <c r="Q38" s="1"/>
      <c r="R38" s="1"/>
      <c r="S38" s="1"/>
    </row>
    <row r="39" spans="10:19" x14ac:dyDescent="0.25">
      <c r="N39" s="1"/>
      <c r="P39" s="1"/>
      <c r="Q39" s="1"/>
      <c r="R39" s="1"/>
      <c r="S39" s="1"/>
    </row>
    <row r="40" spans="10:19" x14ac:dyDescent="0.25">
      <c r="J40" s="1"/>
      <c r="K40" s="1"/>
      <c r="M40" s="1"/>
      <c r="N40" s="1"/>
      <c r="P40" s="1"/>
      <c r="Q40" s="1"/>
      <c r="R40" s="1"/>
      <c r="S40" s="1"/>
    </row>
    <row r="41" spans="10:19" x14ac:dyDescent="0.25">
      <c r="N41" s="1"/>
      <c r="P41" s="1"/>
      <c r="Q41" s="1"/>
      <c r="R41" s="1"/>
      <c r="S41" s="1"/>
    </row>
    <row r="42" spans="10:19" x14ac:dyDescent="0.25">
      <c r="N42" s="1"/>
      <c r="P42" s="1"/>
      <c r="Q42" s="1"/>
      <c r="R42" s="1"/>
      <c r="S42" s="1"/>
    </row>
    <row r="43" spans="10:19" x14ac:dyDescent="0.25">
      <c r="N43" s="1"/>
      <c r="P43" s="1"/>
      <c r="Q43" s="1"/>
      <c r="R43" s="1"/>
      <c r="S43" s="1"/>
    </row>
    <row r="44" spans="10:19" x14ac:dyDescent="0.25">
      <c r="N44" s="1"/>
    </row>
    <row r="45" spans="10:19" x14ac:dyDescent="0.25">
      <c r="N45" s="1"/>
    </row>
    <row r="46" spans="10:19" x14ac:dyDescent="0.25">
      <c r="N46" s="1"/>
    </row>
    <row r="47" spans="10:19" x14ac:dyDescent="0.25">
      <c r="J47" s="1"/>
      <c r="K47" s="1"/>
      <c r="L47" s="1"/>
      <c r="M47" s="1"/>
    </row>
    <row r="53" spans="14:14" x14ac:dyDescent="0.25">
      <c r="N5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57969-13AC-48A2-A605-0951EB3B2D04}">
  <dimension ref="A1:R43"/>
  <sheetViews>
    <sheetView workbookViewId="0">
      <selection activeCell="W30" sqref="W30"/>
    </sheetView>
  </sheetViews>
  <sheetFormatPr defaultRowHeight="15" x14ac:dyDescent="0.25"/>
  <cols>
    <col min="2" max="2" width="9.140625" bestFit="1" customWidth="1"/>
    <col min="6" max="6" width="8.85546875" customWidth="1"/>
  </cols>
  <sheetData>
    <row r="1" spans="1:15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2"/>
      <c r="G1" s="46" t="s">
        <v>101</v>
      </c>
      <c r="H1" s="45"/>
      <c r="I1" s="45"/>
      <c r="J1" s="44"/>
    </row>
    <row r="2" spans="1:15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/>
      <c r="G2" s="82" cm="1">
        <f t="array" ref="G2:J5">MMULT(TRANSPOSE(B12:E17),B12:E17)</f>
        <v>12</v>
      </c>
      <c r="H2" s="83">
        <v>10</v>
      </c>
      <c r="I2" s="83">
        <v>-8</v>
      </c>
      <c r="J2" s="84">
        <v>-13.000000000000002</v>
      </c>
    </row>
    <row r="3" spans="1:15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/>
      <c r="G3" s="77">
        <v>10</v>
      </c>
      <c r="H3" s="1">
        <v>12</v>
      </c>
      <c r="I3" s="1">
        <v>-8.9999999999999982</v>
      </c>
      <c r="J3" s="78">
        <v>-11</v>
      </c>
    </row>
    <row r="4" spans="1:15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/>
      <c r="G4" s="77">
        <v>-8</v>
      </c>
      <c r="H4" s="1">
        <v>-8.9999999999999982</v>
      </c>
      <c r="I4" s="1">
        <v>7.3333333333333348</v>
      </c>
      <c r="J4" s="78">
        <v>8.6666666666666679</v>
      </c>
    </row>
    <row r="5" spans="1:15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/>
      <c r="G5" s="79">
        <v>-13.000000000000002</v>
      </c>
      <c r="H5" s="69">
        <v>-11</v>
      </c>
      <c r="I5" s="69">
        <v>8.6666666666666679</v>
      </c>
      <c r="J5" s="80">
        <v>14.833333333333332</v>
      </c>
    </row>
    <row r="6" spans="1:15" x14ac:dyDescent="0.25">
      <c r="A6" s="149" t="s">
        <v>96</v>
      </c>
      <c r="B6">
        <v>4</v>
      </c>
      <c r="C6">
        <v>4</v>
      </c>
      <c r="D6">
        <v>3</v>
      </c>
      <c r="E6" s="47">
        <v>2</v>
      </c>
      <c r="F6" s="96"/>
      <c r="G6" t="str">
        <f ca="1">_xlfn.FORMULATEXT(G2)</f>
        <v>=MMULT(TRANSPOSE(B12:E17),B12:E17)</v>
      </c>
    </row>
    <row r="7" spans="1:15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</row>
    <row r="8" spans="1:15" ht="18.75" thickBot="1" x14ac:dyDescent="0.4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G8" s="46" t="s">
        <v>232</v>
      </c>
      <c r="H8" s="45" t="s">
        <v>102</v>
      </c>
      <c r="I8" s="45"/>
      <c r="J8" s="44"/>
    </row>
    <row r="9" spans="1:15" x14ac:dyDescent="0.25">
      <c r="B9" s="1" t="str">
        <f ca="1">_xlfn.FORMULATEXT(B8)</f>
        <v>=AVERAGE(B2:B7)</v>
      </c>
      <c r="G9" s="82" cm="1">
        <f t="array" ref="G9:J12">1/5*G2:J5</f>
        <v>2.4000000000000004</v>
      </c>
      <c r="H9" s="83">
        <v>2</v>
      </c>
      <c r="I9" s="83">
        <v>-1.6</v>
      </c>
      <c r="J9" s="84">
        <v>-2.6000000000000005</v>
      </c>
    </row>
    <row r="10" spans="1:15" ht="15.75" thickBot="1" x14ac:dyDescent="0.3">
      <c r="G10" s="77">
        <v>2</v>
      </c>
      <c r="H10" s="1">
        <v>2.4000000000000004</v>
      </c>
      <c r="I10" s="1">
        <v>-1.7999999999999998</v>
      </c>
      <c r="J10" s="78">
        <v>-2.2000000000000002</v>
      </c>
    </row>
    <row r="11" spans="1:15" ht="18.75" thickBot="1" x14ac:dyDescent="0.4">
      <c r="A11" s="46" t="s">
        <v>100</v>
      </c>
      <c r="B11" s="45"/>
      <c r="C11" s="45"/>
      <c r="D11" s="45"/>
      <c r="E11" s="44"/>
      <c r="G11" s="77">
        <v>-1.6</v>
      </c>
      <c r="H11" s="1">
        <v>-1.7999999999999998</v>
      </c>
      <c r="I11" s="1">
        <v>1.466666666666667</v>
      </c>
      <c r="J11" s="78">
        <v>1.7333333333333336</v>
      </c>
    </row>
    <row r="12" spans="1:15" ht="15.75" thickBot="1" x14ac:dyDescent="0.3">
      <c r="A12" s="51"/>
      <c r="B12" s="83">
        <f t="shared" ref="B12:E17" si="1">B2-B$8</f>
        <v>2</v>
      </c>
      <c r="C12" s="83">
        <f t="shared" si="1"/>
        <v>1</v>
      </c>
      <c r="D12" s="83">
        <f t="shared" si="1"/>
        <v>-1.3333333333333335</v>
      </c>
      <c r="E12" s="84">
        <f t="shared" si="1"/>
        <v>-2.1666666666666665</v>
      </c>
      <c r="F12" s="1" t="str">
        <f ca="1">_xlfn.FORMULATEXT(B12)</f>
        <v>=B2-B$8</v>
      </c>
      <c r="G12" s="79">
        <v>-2.6000000000000005</v>
      </c>
      <c r="H12" s="69">
        <v>-2.2000000000000002</v>
      </c>
      <c r="I12" s="69">
        <v>1.7333333333333336</v>
      </c>
      <c r="J12" s="80">
        <v>2.9666666666666668</v>
      </c>
    </row>
    <row r="13" spans="1:15" x14ac:dyDescent="0.25">
      <c r="A13" s="48"/>
      <c r="B13" s="1">
        <f t="shared" si="1"/>
        <v>1</v>
      </c>
      <c r="C13" s="1">
        <f t="shared" si="1"/>
        <v>2</v>
      </c>
      <c r="D13" s="1">
        <f t="shared" si="1"/>
        <v>-1.3333333333333335</v>
      </c>
      <c r="E13" s="78">
        <f t="shared" si="1"/>
        <v>-1.1666666666666665</v>
      </c>
      <c r="G13" s="1" t="str">
        <f ca="1">_xlfn.FORMULATEXT(G9)</f>
        <v>=1/5*G2:J5</v>
      </c>
      <c r="H13" s="1"/>
      <c r="I13" s="1"/>
      <c r="J13" s="1"/>
    </row>
    <row r="14" spans="1:15" ht="15.75" thickBot="1" x14ac:dyDescent="0.3">
      <c r="A14" s="48"/>
      <c r="B14" s="1">
        <f t="shared" si="1"/>
        <v>-2</v>
      </c>
      <c r="C14" s="1">
        <f t="shared" si="1"/>
        <v>-1</v>
      </c>
      <c r="D14" s="1">
        <f t="shared" si="1"/>
        <v>0.66666666666666652</v>
      </c>
      <c r="E14" s="78">
        <f t="shared" si="1"/>
        <v>1.8333333333333335</v>
      </c>
      <c r="G14" s="1"/>
      <c r="H14" s="1"/>
      <c r="I14" s="1"/>
      <c r="J14" s="1"/>
    </row>
    <row r="15" spans="1:15" ht="15.75" thickBot="1" x14ac:dyDescent="0.3">
      <c r="A15" s="48"/>
      <c r="B15" s="1">
        <f t="shared" si="1"/>
        <v>-1</v>
      </c>
      <c r="C15" s="1">
        <f t="shared" si="1"/>
        <v>-2</v>
      </c>
      <c r="D15" s="1">
        <f t="shared" si="1"/>
        <v>1.6666666666666665</v>
      </c>
      <c r="E15" s="78">
        <f t="shared" si="1"/>
        <v>0.83333333333333348</v>
      </c>
      <c r="G15" s="81" t="s">
        <v>107</v>
      </c>
      <c r="H15" s="86"/>
      <c r="I15" s="86"/>
      <c r="J15" s="87"/>
      <c r="L15" s="46" t="s">
        <v>144</v>
      </c>
      <c r="M15" s="45"/>
      <c r="N15" s="45"/>
      <c r="O15" s="44"/>
    </row>
    <row r="16" spans="1:15" x14ac:dyDescent="0.25">
      <c r="A16" s="48"/>
      <c r="B16" s="1">
        <f t="shared" si="1"/>
        <v>1</v>
      </c>
      <c r="C16" s="1">
        <f t="shared" si="1"/>
        <v>1</v>
      </c>
      <c r="D16" s="1">
        <f t="shared" si="1"/>
        <v>-0.33333333333333348</v>
      </c>
      <c r="E16" s="78">
        <f t="shared" si="1"/>
        <v>-1.1666666666666665</v>
      </c>
      <c r="G16" s="95" cm="1">
        <f t="array" ref="G16:J19">1/5*(MMULT(TRANSPOSE(B12:E17),B12:E17))</f>
        <v>2.4000000000000004</v>
      </c>
      <c r="H16" s="83">
        <v>2</v>
      </c>
      <c r="I16" s="83">
        <v>-1.6</v>
      </c>
      <c r="J16" s="84">
        <v>-2.6000000000000005</v>
      </c>
      <c r="L16" s="82" cm="1">
        <f t="array" ref="L16:O19">MINVERSE(G16:J19)</f>
        <v>9.5408163265306403</v>
      </c>
      <c r="M16" s="83">
        <v>1.0204081632652955</v>
      </c>
      <c r="N16" s="83">
        <v>2.8571428571428421</v>
      </c>
      <c r="O16" s="84">
        <v>7.4489795918367614</v>
      </c>
    </row>
    <row r="17" spans="1:18" ht="15.75" thickBot="1" x14ac:dyDescent="0.3">
      <c r="A17" s="53"/>
      <c r="B17" s="69">
        <f t="shared" si="1"/>
        <v>-1</v>
      </c>
      <c r="C17" s="69">
        <f t="shared" si="1"/>
        <v>-1</v>
      </c>
      <c r="D17" s="69">
        <f t="shared" si="1"/>
        <v>0.66666666666666652</v>
      </c>
      <c r="E17" s="80">
        <f t="shared" si="1"/>
        <v>1.8333333333333335</v>
      </c>
      <c r="G17" s="77">
        <v>2</v>
      </c>
      <c r="H17" s="1">
        <v>2.4000000000000004</v>
      </c>
      <c r="I17" s="1">
        <v>-1.7999999999999998</v>
      </c>
      <c r="J17" s="78">
        <v>-2.2000000000000002</v>
      </c>
      <c r="L17" s="77">
        <v>1.0204081632653128</v>
      </c>
      <c r="M17" s="1">
        <v>5.5102040816326197</v>
      </c>
      <c r="N17" s="1">
        <v>6.4285714285713844</v>
      </c>
      <c r="O17" s="78">
        <v>1.2244897959183758</v>
      </c>
    </row>
    <row r="18" spans="1:18" ht="15.75" thickBot="1" x14ac:dyDescent="0.3">
      <c r="A18" s="46" t="s">
        <v>98</v>
      </c>
      <c r="B18" s="86">
        <f>AVERAGE(B12:B17)</f>
        <v>0</v>
      </c>
      <c r="C18" s="86">
        <f t="shared" ref="C18:E18" si="2">AVERAGE(C12:C17)</f>
        <v>0</v>
      </c>
      <c r="D18" s="86">
        <f t="shared" si="2"/>
        <v>-1.4802973661668753E-16</v>
      </c>
      <c r="E18" s="87">
        <f t="shared" si="2"/>
        <v>0</v>
      </c>
      <c r="G18" s="77">
        <v>-1.6</v>
      </c>
      <c r="H18" s="1">
        <v>-1.7999999999999998</v>
      </c>
      <c r="I18" s="1">
        <v>1.466666666666667</v>
      </c>
      <c r="J18" s="78">
        <v>1.7333333333333336</v>
      </c>
      <c r="K18" s="1"/>
      <c r="L18" s="77">
        <v>2.8571428571428625</v>
      </c>
      <c r="M18" s="1">
        <v>6.4285714285713826</v>
      </c>
      <c r="N18" s="1">
        <v>9.9999999999999378</v>
      </c>
      <c r="O18" s="78">
        <v>1.428571428571437</v>
      </c>
    </row>
    <row r="19" spans="1:18" ht="15.75" thickBot="1" x14ac:dyDescent="0.3">
      <c r="B19" s="1" t="str">
        <f ca="1">_xlfn.FORMULATEXT(B18)</f>
        <v>=AVERAGE(B12:B17)</v>
      </c>
      <c r="G19" s="79">
        <v>-2.6000000000000005</v>
      </c>
      <c r="H19" s="69">
        <v>-2.2000000000000002</v>
      </c>
      <c r="I19" s="69">
        <v>1.7333333333333336</v>
      </c>
      <c r="J19" s="80">
        <v>2.9666666666666668</v>
      </c>
      <c r="K19" s="1"/>
      <c r="L19" s="79">
        <v>7.4489795918367623</v>
      </c>
      <c r="M19" s="69">
        <v>1.2244897959183603</v>
      </c>
      <c r="N19" s="69">
        <v>1.4285714285714186</v>
      </c>
      <c r="O19" s="80">
        <v>6.9387755102041071</v>
      </c>
    </row>
    <row r="20" spans="1:18" x14ac:dyDescent="0.25">
      <c r="G20" s="1" t="str">
        <f ca="1">_xlfn.FORMULATEXT(G16)</f>
        <v>=1/5*(MMULT(TRANSPOSE(B12:E17),B12:E17))</v>
      </c>
      <c r="H20" s="1"/>
      <c r="J20" s="1"/>
      <c r="K20" s="1"/>
      <c r="L20" s="1" t="str">
        <f ca="1">_xlfn.FORMULATEXT(L16)</f>
        <v>=MINVERSE(G16:J19)</v>
      </c>
      <c r="M20" s="1"/>
    </row>
    <row r="21" spans="1:18" ht="15.75" thickBot="1" x14ac:dyDescent="0.3">
      <c r="B21" s="1"/>
      <c r="C21" s="1"/>
      <c r="D21" s="1"/>
      <c r="E21" s="1"/>
      <c r="K21" s="1"/>
      <c r="L21" s="1"/>
      <c r="M21" s="1"/>
    </row>
    <row r="22" spans="1:18" ht="15.75" thickBot="1" x14ac:dyDescent="0.3">
      <c r="B22" s="1"/>
      <c r="C22" s="1"/>
      <c r="D22" s="1"/>
      <c r="E22" s="1"/>
      <c r="G22" s="46" t="s">
        <v>132</v>
      </c>
      <c r="H22" s="44"/>
      <c r="N22" s="1"/>
      <c r="O22" s="1"/>
      <c r="P22" s="1"/>
    </row>
    <row r="23" spans="1:18" ht="15.75" thickBot="1" x14ac:dyDescent="0.3">
      <c r="B23" s="1"/>
      <c r="C23" s="1"/>
      <c r="D23" s="1"/>
      <c r="E23" s="1"/>
      <c r="G23" s="64">
        <f>MDETERM(G16:J19)</f>
        <v>2.6133333333333422E-2</v>
      </c>
      <c r="H23" t="str">
        <f ca="1">_xlfn.FORMULATEXT(G23)</f>
        <v>=MDETERM(G16:J19)</v>
      </c>
      <c r="N23" s="1"/>
      <c r="O23" s="1"/>
      <c r="P23" s="1"/>
      <c r="R23" s="1"/>
    </row>
    <row r="24" spans="1:18" x14ac:dyDescent="0.25">
      <c r="B24" s="1"/>
      <c r="C24" s="1"/>
      <c r="D24" s="1"/>
      <c r="E24" s="1"/>
      <c r="N24" s="1"/>
      <c r="O24" s="1"/>
      <c r="R24" s="1"/>
    </row>
    <row r="25" spans="1:18" x14ac:dyDescent="0.25">
      <c r="B25" s="1"/>
      <c r="C25" s="1"/>
      <c r="D25" s="1"/>
      <c r="E25" s="1"/>
      <c r="N25" s="1"/>
      <c r="O25" s="1"/>
      <c r="R25" s="1"/>
    </row>
    <row r="26" spans="1:18" x14ac:dyDescent="0.25">
      <c r="B26" s="1"/>
      <c r="C26" s="1"/>
      <c r="D26" s="1"/>
      <c r="E26" s="1"/>
      <c r="O26" s="1"/>
      <c r="R26" s="1"/>
    </row>
    <row r="27" spans="1:18" x14ac:dyDescent="0.25">
      <c r="N27" s="1"/>
      <c r="O27" s="1"/>
    </row>
    <row r="28" spans="1:18" x14ac:dyDescent="0.25">
      <c r="N28" s="1"/>
      <c r="O28" s="1"/>
    </row>
    <row r="30" spans="1:18" x14ac:dyDescent="0.25">
      <c r="N30" s="1"/>
      <c r="O30" s="1"/>
      <c r="P30" s="1"/>
      <c r="Q30" s="1"/>
    </row>
    <row r="38" spans="7:10" x14ac:dyDescent="0.25">
      <c r="G38" s="1"/>
      <c r="H38" s="1"/>
      <c r="I38" s="1"/>
      <c r="J38" s="1"/>
    </row>
    <row r="39" spans="7:10" x14ac:dyDescent="0.25">
      <c r="G39" s="1"/>
      <c r="H39" s="1"/>
      <c r="I39" s="1"/>
      <c r="J39" s="1"/>
    </row>
    <row r="40" spans="7:10" x14ac:dyDescent="0.25">
      <c r="G40" s="1"/>
      <c r="H40" s="1"/>
      <c r="I40" s="1"/>
      <c r="J40" s="1"/>
    </row>
    <row r="41" spans="7:10" x14ac:dyDescent="0.25">
      <c r="G41" s="1"/>
      <c r="H41" s="1"/>
      <c r="I41" s="1"/>
      <c r="J41" s="1"/>
    </row>
    <row r="42" spans="7:10" x14ac:dyDescent="0.25">
      <c r="G42" s="1"/>
      <c r="H42" s="1"/>
      <c r="I42" s="1"/>
      <c r="J42" s="1"/>
    </row>
    <row r="43" spans="7:10" x14ac:dyDescent="0.25">
      <c r="G43" s="1"/>
      <c r="H43" s="1"/>
      <c r="I43" s="1"/>
      <c r="J43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0E5ED-28E9-4906-A1EC-8277B6487A45}">
  <dimension ref="A1:AA53"/>
  <sheetViews>
    <sheetView workbookViewId="0">
      <selection activeCell="H28" sqref="H28"/>
    </sheetView>
  </sheetViews>
  <sheetFormatPr defaultRowHeight="15" x14ac:dyDescent="0.25"/>
  <cols>
    <col min="2" max="2" width="9.140625" bestFit="1" customWidth="1"/>
    <col min="15" max="15" width="10.7109375" customWidth="1"/>
  </cols>
  <sheetData>
    <row r="1" spans="1:24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2" t="s">
        <v>87</v>
      </c>
      <c r="G1" s="66">
        <v>6</v>
      </c>
      <c r="H1" t="s">
        <v>88</v>
      </c>
      <c r="K1" t="s">
        <v>99</v>
      </c>
      <c r="P1" s="46" t="s">
        <v>101</v>
      </c>
      <c r="Q1" s="45"/>
      <c r="R1" s="45"/>
      <c r="S1" s="44"/>
      <c r="U1" s="46" t="s">
        <v>197</v>
      </c>
      <c r="V1" s="45"/>
      <c r="W1" s="45"/>
      <c r="X1" s="44"/>
    </row>
    <row r="2" spans="1:24" x14ac:dyDescent="0.25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42" t="s">
        <v>90</v>
      </c>
      <c r="G2" s="66">
        <v>4</v>
      </c>
      <c r="H2" t="s">
        <v>91</v>
      </c>
      <c r="J2" s="68"/>
      <c r="K2" s="68" t="s">
        <v>103</v>
      </c>
      <c r="L2" s="68" t="s">
        <v>104</v>
      </c>
      <c r="M2" s="68" t="s">
        <v>105</v>
      </c>
      <c r="N2" s="68" t="s">
        <v>106</v>
      </c>
      <c r="P2" s="82" cm="1">
        <f t="array" ref="P2:S5">MMULT(TRANSPOSE(B12:E17),B12:E17)</f>
        <v>12</v>
      </c>
      <c r="Q2" s="83">
        <v>10</v>
      </c>
      <c r="R2" s="83">
        <v>-8</v>
      </c>
      <c r="S2" s="84">
        <v>-13.000000000000002</v>
      </c>
      <c r="U2" s="82" cm="1">
        <f t="array" ref="U2:X5">G5*MMULT(TRANSPOSE(B22:E28),B22:E28)</f>
        <v>2.4000000000000012</v>
      </c>
      <c r="V2" s="83">
        <v>2.0000000000000009</v>
      </c>
      <c r="W2" s="83">
        <v>-1.6000000000000003</v>
      </c>
      <c r="X2" s="84">
        <v>-2.6</v>
      </c>
    </row>
    <row r="3" spans="1:24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F3" s="42" t="s">
        <v>93</v>
      </c>
      <c r="G3" s="66">
        <f>G1*G2</f>
        <v>24</v>
      </c>
      <c r="J3" t="s">
        <v>103</v>
      </c>
      <c r="K3" s="1">
        <f>VARP('Covar cent+scaled'!$B$12:$B$17)</f>
        <v>2</v>
      </c>
      <c r="L3" s="1"/>
      <c r="M3" s="1"/>
      <c r="N3" s="1"/>
      <c r="P3" s="77">
        <v>10</v>
      </c>
      <c r="Q3" s="1">
        <v>12</v>
      </c>
      <c r="R3" s="1">
        <v>-8.9999999999999982</v>
      </c>
      <c r="S3" s="78">
        <v>-11</v>
      </c>
      <c r="U3" s="77">
        <v>2.0000000000000009</v>
      </c>
      <c r="V3" s="1">
        <v>2.4000000000000004</v>
      </c>
      <c r="W3" s="1">
        <v>-1.8000000000000005</v>
      </c>
      <c r="X3" s="78">
        <v>-2.2000000000000002</v>
      </c>
    </row>
    <row r="4" spans="1:24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F4" s="42" t="s">
        <v>32</v>
      </c>
      <c r="G4">
        <v>6</v>
      </c>
      <c r="H4" t="s">
        <v>133</v>
      </c>
      <c r="J4" t="s">
        <v>104</v>
      </c>
      <c r="K4" s="1">
        <v>0.33333333333333331</v>
      </c>
      <c r="L4" s="1">
        <f>VARP('Covar cent+scaled'!$C$12:$C$17)</f>
        <v>2</v>
      </c>
      <c r="M4" s="1"/>
      <c r="N4" s="1"/>
      <c r="P4" s="77">
        <v>-8</v>
      </c>
      <c r="Q4" s="1">
        <v>-8.9999999999999982</v>
      </c>
      <c r="R4" s="1">
        <v>7.3333333333333348</v>
      </c>
      <c r="S4" s="78">
        <v>8.6666666666666679</v>
      </c>
      <c r="U4" s="77">
        <v>-1.6000000000000003</v>
      </c>
      <c r="V4" s="1">
        <v>-1.8000000000000005</v>
      </c>
      <c r="W4" s="1">
        <v>1.4666666666666672</v>
      </c>
      <c r="X4" s="78">
        <v>1.7333333333333334</v>
      </c>
    </row>
    <row r="5" spans="1:24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F5" s="42" t="s">
        <v>134</v>
      </c>
      <c r="G5" s="71">
        <f>G4-1</f>
        <v>5</v>
      </c>
      <c r="J5" t="s">
        <v>105</v>
      </c>
      <c r="K5" s="1">
        <v>-0.26666666666666661</v>
      </c>
      <c r="L5" s="1">
        <v>-0.29999999999999993</v>
      </c>
      <c r="M5" s="1">
        <f>VARP('Covar cent+scaled'!$D$12:$D$17)</f>
        <v>1.2222222222222223</v>
      </c>
      <c r="N5" s="1"/>
      <c r="P5" s="79">
        <v>-13.000000000000002</v>
      </c>
      <c r="Q5" s="69">
        <v>-11</v>
      </c>
      <c r="R5" s="69">
        <v>8.6666666666666679</v>
      </c>
      <c r="S5" s="80">
        <v>14.833333333333332</v>
      </c>
      <c r="U5" s="79">
        <v>-2.6</v>
      </c>
      <c r="V5" s="69">
        <v>-2.2000000000000002</v>
      </c>
      <c r="W5" s="69">
        <v>1.7333333333333334</v>
      </c>
      <c r="X5" s="80">
        <v>2.9666666666666668</v>
      </c>
    </row>
    <row r="6" spans="1:24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F6" s="96" t="s">
        <v>158</v>
      </c>
      <c r="G6" s="73">
        <f>1/G5</f>
        <v>0.2</v>
      </c>
      <c r="H6" t="str">
        <f ca="1">_xlfn.FORMULATEXT(G6)</f>
        <v>=1/G5</v>
      </c>
      <c r="J6" s="56" t="s">
        <v>106</v>
      </c>
      <c r="K6" s="69">
        <v>-0.39999999999999997</v>
      </c>
      <c r="L6" s="69">
        <v>-0.33333333333333331</v>
      </c>
      <c r="M6" s="69">
        <v>0.26666666666666661</v>
      </c>
      <c r="N6" s="69">
        <f>VARP('Covar cent+scaled'!$E$12:$E$17)</f>
        <v>2.4722222222222223</v>
      </c>
      <c r="P6" t="str">
        <f ca="1">_xlfn.FORMULATEXT(P2)</f>
        <v>=MMULT(TRANSPOSE(B12:E17),B12:E17)</v>
      </c>
      <c r="U6" t="str">
        <f ca="1">_xlfn.FORMULATEXT(U2)</f>
        <v>=G5*MMULT(TRANSPOSE(B22:E28),B22:E28)</v>
      </c>
    </row>
    <row r="7" spans="1:24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</row>
    <row r="8" spans="1:24" ht="18.75" thickBot="1" x14ac:dyDescent="0.4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K8" s="46" t="s">
        <v>130</v>
      </c>
      <c r="L8" s="45"/>
      <c r="M8" s="45"/>
      <c r="N8" s="44"/>
      <c r="P8" s="46" t="s">
        <v>159</v>
      </c>
      <c r="Q8" s="45"/>
      <c r="R8" s="45"/>
      <c r="S8" s="44"/>
    </row>
    <row r="9" spans="1:24" ht="16.5" x14ac:dyDescent="0.25">
      <c r="B9" s="1" t="str">
        <f ca="1">_xlfn.FORMULATEXT(B8)</f>
        <v>=AVERAGE(B2:B7)</v>
      </c>
      <c r="K9" s="82">
        <f>_xlfn.VAR.P($B$12:$B$17,B12:B17)</f>
        <v>2</v>
      </c>
      <c r="L9" s="83" t="str">
        <f ca="1">_xlfn.FORMULATEXT(K9)</f>
        <v>=VAR.P($B$12:$B$17,B12:B17)</v>
      </c>
      <c r="M9" s="83"/>
      <c r="N9" s="84"/>
      <c r="P9" s="82" cm="1">
        <f t="array" ref="P9:S12">$G$6*P2:S5</f>
        <v>2.4000000000000004</v>
      </c>
      <c r="Q9" s="83">
        <v>2</v>
      </c>
      <c r="R9" s="83">
        <v>-1.6</v>
      </c>
      <c r="S9" s="84">
        <v>-2.6000000000000005</v>
      </c>
      <c r="T9" t="s">
        <v>152</v>
      </c>
    </row>
    <row r="10" spans="1:24" ht="17.25" thickBot="1" x14ac:dyDescent="0.3">
      <c r="K10" s="77">
        <f>_xlfn.COVARIANCE.P($B$12:$B$17,C12:C17)</f>
        <v>1.6666666666666667</v>
      </c>
      <c r="L10" s="1">
        <f>_xlfn.VAR.P($C$12:$C$17,C12:C17)</f>
        <v>2</v>
      </c>
      <c r="M10" s="1"/>
      <c r="N10" s="78"/>
      <c r="P10" s="77">
        <v>2</v>
      </c>
      <c r="Q10" s="1">
        <v>2.4000000000000004</v>
      </c>
      <c r="R10" s="1">
        <v>-1.7999999999999998</v>
      </c>
      <c r="S10" s="78">
        <v>-2.2000000000000002</v>
      </c>
      <c r="W10" s="75" t="s">
        <v>153</v>
      </c>
    </row>
    <row r="11" spans="1:24" ht="18.75" thickBot="1" x14ac:dyDescent="0.4">
      <c r="A11" s="46" t="s">
        <v>100</v>
      </c>
      <c r="B11" s="45"/>
      <c r="C11" s="45"/>
      <c r="D11" s="45"/>
      <c r="E11" s="44"/>
      <c r="K11" s="77">
        <f>_xlfn.COVARIANCE.P($B$12:$B$17,D12:D17)</f>
        <v>-1.3333333333333333</v>
      </c>
      <c r="L11" s="1">
        <f>_xlfn.COVARIANCE.P($C$12:$C$17,D12:D17)</f>
        <v>-1.5</v>
      </c>
      <c r="M11" s="1">
        <f>_xlfn.VAR.P($D$12:$D$17,D12:D17)</f>
        <v>1.2222222222222223</v>
      </c>
      <c r="N11" s="78"/>
      <c r="P11" s="77">
        <v>-1.6</v>
      </c>
      <c r="Q11" s="1">
        <v>-1.7999999999999998</v>
      </c>
      <c r="R11" s="1">
        <v>1.466666666666667</v>
      </c>
      <c r="S11" s="78">
        <v>1.7333333333333336</v>
      </c>
    </row>
    <row r="12" spans="1:24" ht="15.75" thickBot="1" x14ac:dyDescent="0.3">
      <c r="A12" s="51"/>
      <c r="B12" s="83">
        <f>B2-B$8</f>
        <v>2</v>
      </c>
      <c r="C12" s="83">
        <f>C2-C$8</f>
        <v>1</v>
      </c>
      <c r="D12" s="83">
        <f t="shared" ref="D12:E12" si="1">D2-D$8</f>
        <v>-1.3333333333333335</v>
      </c>
      <c r="E12" s="84">
        <f t="shared" si="1"/>
        <v>-2.1666666666666665</v>
      </c>
      <c r="F12" s="1" t="str">
        <f ca="1">_xlfn.FORMULATEXT(B12)</f>
        <v>=B2-B$8</v>
      </c>
      <c r="K12" s="79">
        <f>_xlfn.COVARIANCE.P($B$12:$B$17,E12:E17)</f>
        <v>-2.1666666666666665</v>
      </c>
      <c r="L12" s="69">
        <f>_xlfn.COVARIANCE.P($C$12:$C$17,C14:C19)</f>
        <v>-0.67999999999999994</v>
      </c>
      <c r="M12" s="69">
        <f>_xlfn.COVARIANCE.P($D$12:$D$17,E12:E17)</f>
        <v>1.4444444444444444</v>
      </c>
      <c r="N12" s="80">
        <f>_xlfn.VAR.P(E12:E17,E12:E17)</f>
        <v>2.4722222222222223</v>
      </c>
      <c r="P12" s="79">
        <v>-2.6000000000000005</v>
      </c>
      <c r="Q12" s="69">
        <v>-2.2000000000000002</v>
      </c>
      <c r="R12" s="69">
        <v>1.7333333333333336</v>
      </c>
      <c r="S12" s="80">
        <v>2.9666666666666668</v>
      </c>
    </row>
    <row r="13" spans="1:24" x14ac:dyDescent="0.25">
      <c r="A13" s="48"/>
      <c r="B13" s="1">
        <f t="shared" ref="B13:E17" si="2">B3-B$8</f>
        <v>1</v>
      </c>
      <c r="C13" s="1">
        <f t="shared" si="2"/>
        <v>2</v>
      </c>
      <c r="D13" s="1">
        <f t="shared" si="2"/>
        <v>-1.3333333333333335</v>
      </c>
      <c r="E13" s="78">
        <f t="shared" si="2"/>
        <v>-1.1666666666666665</v>
      </c>
      <c r="K13" t="str">
        <f ca="1">_xlfn.FORMULATEXT(K12)</f>
        <v>=COVARIANCE.P($B$12:$B$17,E12:E17)</v>
      </c>
      <c r="P13" s="1" t="str">
        <f ca="1">_xlfn.FORMULATEXT(P9)</f>
        <v>=$G$6*P2:S5</v>
      </c>
      <c r="Q13" s="1"/>
      <c r="R13" s="1"/>
      <c r="S13" s="1"/>
    </row>
    <row r="14" spans="1:24" ht="15.75" thickBot="1" x14ac:dyDescent="0.3">
      <c r="A14" s="48"/>
      <c r="B14" s="1">
        <f t="shared" si="2"/>
        <v>-2</v>
      </c>
      <c r="C14" s="1">
        <f t="shared" si="2"/>
        <v>-1</v>
      </c>
      <c r="D14" s="1">
        <f t="shared" si="2"/>
        <v>0.66666666666666652</v>
      </c>
      <c r="E14" s="78">
        <f t="shared" si="2"/>
        <v>1.8333333333333335</v>
      </c>
      <c r="P14" s="1"/>
      <c r="Q14" s="1"/>
      <c r="R14" s="1"/>
      <c r="S14" s="1"/>
    </row>
    <row r="15" spans="1:24" ht="15.75" thickBot="1" x14ac:dyDescent="0.3">
      <c r="A15" s="48"/>
      <c r="B15" s="1">
        <f t="shared" si="2"/>
        <v>-1</v>
      </c>
      <c r="C15" s="1">
        <f t="shared" si="2"/>
        <v>-2</v>
      </c>
      <c r="D15" s="1">
        <f t="shared" si="2"/>
        <v>1.6666666666666665</v>
      </c>
      <c r="E15" s="78">
        <f t="shared" si="2"/>
        <v>0.83333333333333348</v>
      </c>
      <c r="K15" s="46" t="s">
        <v>131</v>
      </c>
      <c r="L15" s="45"/>
      <c r="M15" s="45"/>
      <c r="N15" s="44"/>
      <c r="P15" s="81" t="s">
        <v>107</v>
      </c>
      <c r="Q15" s="86"/>
      <c r="R15" s="86"/>
      <c r="S15" s="87"/>
      <c r="U15" s="46" t="s">
        <v>144</v>
      </c>
      <c r="V15" s="45"/>
      <c r="W15" s="45"/>
      <c r="X15" s="44"/>
    </row>
    <row r="16" spans="1:24" x14ac:dyDescent="0.25">
      <c r="A16" s="48"/>
      <c r="B16" s="1">
        <f t="shared" si="2"/>
        <v>1</v>
      </c>
      <c r="C16" s="1">
        <f t="shared" si="2"/>
        <v>1</v>
      </c>
      <c r="D16" s="1">
        <f t="shared" si="2"/>
        <v>-0.33333333333333348</v>
      </c>
      <c r="E16" s="78">
        <f t="shared" si="2"/>
        <v>-1.1666666666666665</v>
      </c>
      <c r="K16" s="82">
        <f>_xlfn.COVARIANCE.S($B$12:$B$17,B12:B17)</f>
        <v>2.4</v>
      </c>
      <c r="L16" s="83">
        <f>_xlfn.COVARIANCE.S(B$12:B$17,$C$12:$C$17)</f>
        <v>2</v>
      </c>
      <c r="M16" s="83">
        <f>_xlfn.COVARIANCE.S(B$12:B$17,$D$12:$D$17)</f>
        <v>-1.6</v>
      </c>
      <c r="N16" s="84">
        <f>_xlfn.COVARIANCE.S(B$12:B$17,$E$12:$E$17)</f>
        <v>-2.6</v>
      </c>
      <c r="P16" s="95" cm="1">
        <f t="array" ref="P16:S19">$G$6*(MMULT(TRANSPOSE(B12:E17),B12:E17))</f>
        <v>2.4000000000000004</v>
      </c>
      <c r="Q16" s="83">
        <v>2</v>
      </c>
      <c r="R16" s="83">
        <v>-1.6</v>
      </c>
      <c r="S16" s="84">
        <v>-2.6000000000000005</v>
      </c>
      <c r="U16" s="82" cm="1">
        <f t="array" ref="U16:X19">MINVERSE(K23:N26)</f>
        <v>9.5408163265306989</v>
      </c>
      <c r="V16" s="83">
        <v>1.0204081632653157</v>
      </c>
      <c r="W16" s="83">
        <v>2.8571428571428701</v>
      </c>
      <c r="X16" s="84">
        <v>7.4489795918368147</v>
      </c>
    </row>
    <row r="17" spans="1:27" ht="15.75" thickBot="1" x14ac:dyDescent="0.3">
      <c r="A17" s="53"/>
      <c r="B17" s="69">
        <f t="shared" si="2"/>
        <v>-1</v>
      </c>
      <c r="C17" s="69">
        <f t="shared" si="2"/>
        <v>-1</v>
      </c>
      <c r="D17" s="69">
        <f t="shared" si="2"/>
        <v>0.66666666666666652</v>
      </c>
      <c r="E17" s="80">
        <f t="shared" si="2"/>
        <v>1.8333333333333335</v>
      </c>
      <c r="K17" s="77">
        <f>_xlfn.COVARIANCE.S($B$12:$B$17,C12:C17)</f>
        <v>2</v>
      </c>
      <c r="L17" s="1">
        <f>_xlfn.COVARIANCE.S(C$12:C$17,$C$12:$C$17)</f>
        <v>2.4</v>
      </c>
      <c r="M17" s="1">
        <f>_xlfn.COVARIANCE.S(C$12:C$17,$D$12:$D$17)</f>
        <v>-1.8</v>
      </c>
      <c r="N17" s="78">
        <f>_xlfn.COVARIANCE.S(C$12:C$17,$E$12:$E$17)</f>
        <v>-2.2000000000000002</v>
      </c>
      <c r="P17" s="77">
        <v>2</v>
      </c>
      <c r="Q17" s="1">
        <v>2.4000000000000004</v>
      </c>
      <c r="R17" s="1">
        <v>-1.7999999999999998</v>
      </c>
      <c r="S17" s="78">
        <v>-2.2000000000000002</v>
      </c>
      <c r="U17" s="77">
        <v>1.0204081632653144</v>
      </c>
      <c r="V17" s="1">
        <v>5.5102040816326161</v>
      </c>
      <c r="W17" s="1">
        <v>6.4285714285713755</v>
      </c>
      <c r="X17" s="78">
        <v>1.2244897959183783</v>
      </c>
    </row>
    <row r="18" spans="1:27" ht="15.75" thickBot="1" x14ac:dyDescent="0.3">
      <c r="A18" s="46" t="s">
        <v>98</v>
      </c>
      <c r="B18" s="86">
        <f>AVERAGE(B12:B17)</f>
        <v>0</v>
      </c>
      <c r="C18" s="86">
        <f t="shared" ref="C18:E18" si="3">AVERAGE(C12:C17)</f>
        <v>0</v>
      </c>
      <c r="D18" s="86">
        <f t="shared" si="3"/>
        <v>-1.4802973661668753E-16</v>
      </c>
      <c r="E18" s="87">
        <f t="shared" si="3"/>
        <v>0</v>
      </c>
      <c r="K18" s="77">
        <f>_xlfn.COVARIANCE.S($B$12:$B$17,D12:D17)</f>
        <v>-1.6</v>
      </c>
      <c r="L18" s="1">
        <f>_xlfn.COVARIANCE.S(D$12:D$17,$C$12:$C$17)</f>
        <v>-1.8</v>
      </c>
      <c r="M18" s="1">
        <f>_xlfn.COVARIANCE.S(D$12:D$17,$D$12:$D$17)</f>
        <v>1.4666666666666668</v>
      </c>
      <c r="N18" s="78">
        <f>_xlfn.COVARIANCE.S(D$12:D$17,$E$12:$E$17)</f>
        <v>1.7333333333333332</v>
      </c>
      <c r="P18" s="77">
        <v>-1.6</v>
      </c>
      <c r="Q18" s="1">
        <v>-1.7999999999999998</v>
      </c>
      <c r="R18" s="1">
        <v>1.466666666666667</v>
      </c>
      <c r="S18" s="78">
        <v>1.7333333333333336</v>
      </c>
      <c r="T18" s="1"/>
      <c r="U18" s="77">
        <v>2.857142857142867</v>
      </c>
      <c r="V18" s="1">
        <v>6.4285714285713782</v>
      </c>
      <c r="W18" s="1">
        <v>9.9999999999999272</v>
      </c>
      <c r="X18" s="78">
        <v>1.4285714285714417</v>
      </c>
    </row>
    <row r="19" spans="1:27" ht="15.75" thickBot="1" x14ac:dyDescent="0.3">
      <c r="B19" s="1" t="str">
        <f ca="1">_xlfn.FORMULATEXT(B18)</f>
        <v>=AVERAGE(B12:B17)</v>
      </c>
      <c r="K19" s="79">
        <f>_xlfn.COVARIANCE.S($B$12:$B$17,E12:E17)</f>
        <v>-2.6</v>
      </c>
      <c r="L19" s="69">
        <f>_xlfn.COVARIANCE.S(E$12:E$17,$C$12:$C$17)</f>
        <v>-2.2000000000000002</v>
      </c>
      <c r="M19" s="69">
        <f>_xlfn.COVARIANCE.S(E$12:E$17,$D$12:$D$17)</f>
        <v>1.7333333333333332</v>
      </c>
      <c r="N19" s="80">
        <f>_xlfn.COVARIANCE.S(E$12:E$17,$E$12:$E$17)</f>
        <v>2.9666666666666663</v>
      </c>
      <c r="P19" s="79">
        <v>-2.6000000000000005</v>
      </c>
      <c r="Q19" s="69">
        <v>-2.2000000000000002</v>
      </c>
      <c r="R19" s="69">
        <v>1.7333333333333336</v>
      </c>
      <c r="S19" s="80">
        <v>2.9666666666666668</v>
      </c>
      <c r="T19" s="1"/>
      <c r="U19" s="79">
        <v>7.4489795918368147</v>
      </c>
      <c r="V19" s="69">
        <v>1.2244897959183776</v>
      </c>
      <c r="W19" s="69">
        <v>1.4285714285714424</v>
      </c>
      <c r="X19" s="80">
        <v>6.9387755102041533</v>
      </c>
    </row>
    <row r="20" spans="1:27" ht="15.75" thickBot="1" x14ac:dyDescent="0.3">
      <c r="K20" t="str">
        <f ca="1">_xlfn.FORMULATEXT(K16)</f>
        <v>=COVARIANCE.S($B$12:$B$17,B12:B17)</v>
      </c>
      <c r="P20" s="1" t="str">
        <f ca="1">_xlfn.FORMULATEXT(P16)</f>
        <v>=$G$6*(MMULT(TRANSPOSE(B12:E17),B12:E17))</v>
      </c>
      <c r="Q20" s="1"/>
      <c r="S20" s="1"/>
      <c r="T20" s="1"/>
      <c r="U20" s="1" t="str">
        <f ca="1">_xlfn.FORMULATEXT(U16)</f>
        <v>=MINVERSE(K23:N26)</v>
      </c>
      <c r="V20" s="1"/>
    </row>
    <row r="21" spans="1:27" ht="18.75" thickBot="1" x14ac:dyDescent="0.4">
      <c r="A21" s="46" t="s">
        <v>196</v>
      </c>
      <c r="B21" s="45"/>
      <c r="C21" s="45"/>
      <c r="D21" s="45"/>
      <c r="E21" s="44"/>
      <c r="T21" s="1"/>
      <c r="U21" s="1"/>
      <c r="V21" s="1"/>
    </row>
    <row r="22" spans="1:27" ht="15.75" thickBot="1" x14ac:dyDescent="0.3">
      <c r="A22" s="51"/>
      <c r="B22" s="83">
        <f>$G$6*B12</f>
        <v>0.4</v>
      </c>
      <c r="C22" s="83">
        <f t="shared" ref="C22:E22" si="4">$G$6*C12</f>
        <v>0.2</v>
      </c>
      <c r="D22" s="83">
        <f t="shared" si="4"/>
        <v>-0.26666666666666672</v>
      </c>
      <c r="E22" s="84">
        <f t="shared" si="4"/>
        <v>-0.43333333333333335</v>
      </c>
      <c r="F22" s="1" t="str">
        <f ca="1">_xlfn.FORMULATEXT(B22)</f>
        <v>=$G$6*B12</v>
      </c>
      <c r="G22" s="67"/>
      <c r="K22" s="81" t="s">
        <v>129</v>
      </c>
      <c r="L22" s="45"/>
      <c r="M22" s="45"/>
      <c r="N22" s="44"/>
      <c r="P22" s="46" t="s">
        <v>132</v>
      </c>
      <c r="Q22" s="44"/>
      <c r="W22" s="1"/>
      <c r="X22" s="1"/>
      <c r="Y22" s="1"/>
    </row>
    <row r="23" spans="1:27" ht="15.75" thickBot="1" x14ac:dyDescent="0.3">
      <c r="A23" s="48"/>
      <c r="B23" s="1">
        <f t="shared" ref="B23:E23" si="5">$G$6*B13</f>
        <v>0.2</v>
      </c>
      <c r="C23" s="1">
        <f t="shared" si="5"/>
        <v>0.4</v>
      </c>
      <c r="D23" s="1">
        <f t="shared" si="5"/>
        <v>-0.26666666666666672</v>
      </c>
      <c r="E23" s="78">
        <f t="shared" si="5"/>
        <v>-0.23333333333333331</v>
      </c>
      <c r="K23" s="1">
        <f>SUMPRODUCT($B$12:$B$17,B$12:B$17)/(COUNT(B$12:B$17)-1)</f>
        <v>2.4</v>
      </c>
      <c r="L23" s="1">
        <f>SUMPRODUCT(B$12:B$17,C$12:C$17)/(COUNT(C$12:C$17)-1)</f>
        <v>2</v>
      </c>
      <c r="M23" s="1">
        <f>SUMPRODUCT(B$12:B$17,D$12:D$17)/(COUNT(D$12:D$17)-1)</f>
        <v>-1.6</v>
      </c>
      <c r="N23" s="1">
        <f>SUMPRODUCT(B$12:B$17,E$12:E$17)/(COUNT(E$12:E$17)-1)</f>
        <v>-2.6000000000000005</v>
      </c>
      <c r="O23" s="1"/>
      <c r="P23" s="64">
        <f>MDETERM(_xlfn.ANCHORARRAY(P16))</f>
        <v>2.6133333333333422E-2</v>
      </c>
      <c r="Q23" t="str">
        <f ca="1">_xlfn.FORMULATEXT(P23)</f>
        <v>=MDETERM(P16#)</v>
      </c>
      <c r="W23" s="1"/>
      <c r="X23" s="1"/>
      <c r="Y23" s="1"/>
      <c r="AA23" s="1"/>
    </row>
    <row r="24" spans="1:27" x14ac:dyDescent="0.25">
      <c r="A24" s="48"/>
      <c r="B24" s="1">
        <f t="shared" ref="B24:E24" si="6">$G$6*B14</f>
        <v>-0.4</v>
      </c>
      <c r="C24" s="1">
        <f t="shared" si="6"/>
        <v>-0.2</v>
      </c>
      <c r="D24" s="1">
        <f t="shared" si="6"/>
        <v>0.1333333333333333</v>
      </c>
      <c r="E24" s="78">
        <f t="shared" si="6"/>
        <v>0.3666666666666667</v>
      </c>
      <c r="K24" s="1">
        <f>SUMPRODUCT($B$12:$B$17,C$12:C$17)/(COUNT(C$12:C$17)-1)</f>
        <v>2</v>
      </c>
      <c r="L24" s="1">
        <f>SUMPRODUCT(C$12:C$17,C$12:C$17)/(COUNT(C$12:C$17)-1)</f>
        <v>2.4</v>
      </c>
      <c r="M24" s="1">
        <f>SUMPRODUCT(C$12:C$17,D$12:D$17)/(COUNT(D$12:D$17)-1)</f>
        <v>-1.7999999999999996</v>
      </c>
      <c r="N24" s="1">
        <f>SUMPRODUCT(C$12:C$17,E$12:E$17)/(COUNT(E$12:E$17)-1)</f>
        <v>-2.2000000000000002</v>
      </c>
      <c r="O24" s="1"/>
      <c r="W24" s="1"/>
      <c r="X24" s="1"/>
      <c r="AA24" s="1"/>
    </row>
    <row r="25" spans="1:27" x14ac:dyDescent="0.25">
      <c r="A25" s="48"/>
      <c r="B25" s="1">
        <f t="shared" ref="B25:E25" si="7">$G$6*B15</f>
        <v>-0.2</v>
      </c>
      <c r="C25" s="1">
        <f t="shared" si="7"/>
        <v>-0.4</v>
      </c>
      <c r="D25" s="1">
        <f t="shared" si="7"/>
        <v>0.33333333333333331</v>
      </c>
      <c r="E25" s="78">
        <f t="shared" si="7"/>
        <v>0.16666666666666671</v>
      </c>
      <c r="K25" s="1">
        <f>SUMPRODUCT($B$12:$B$17,D$12:D$17)/(COUNT(D$12:D$17)-1)</f>
        <v>-1.6</v>
      </c>
      <c r="L25" s="1">
        <f>SUMPRODUCT(D$12:D$17,C$12:C$17)/(COUNT(C$12:C$17)-1)</f>
        <v>-1.7999999999999996</v>
      </c>
      <c r="M25" s="1">
        <f>SUMPRODUCT(D$12:D$17,D$12:D$17)/(COUNT(D$12:D$17)-1)</f>
        <v>1.466666666666667</v>
      </c>
      <c r="N25" s="1">
        <f>SUMPRODUCT(D$12:D$17,E$12:E$17)/(COUNT(E$12:E$17)-1)</f>
        <v>1.7333333333333336</v>
      </c>
      <c r="O25" s="1"/>
      <c r="W25" s="1"/>
      <c r="X25" s="1"/>
      <c r="AA25" s="1"/>
    </row>
    <row r="26" spans="1:27" x14ac:dyDescent="0.25">
      <c r="A26" s="48"/>
      <c r="B26" s="1">
        <f t="shared" ref="B26:E26" si="8">$G$6*B16</f>
        <v>0.2</v>
      </c>
      <c r="C26" s="1">
        <f t="shared" si="8"/>
        <v>0.2</v>
      </c>
      <c r="D26" s="1">
        <f t="shared" si="8"/>
        <v>-6.6666666666666693E-2</v>
      </c>
      <c r="E26" s="78">
        <f t="shared" si="8"/>
        <v>-0.23333333333333331</v>
      </c>
      <c r="K26" s="1">
        <f>SUMPRODUCT($B$12:$B$17,E$12:E$17)/(COUNT(E$12:E$17)-1)</f>
        <v>-2.6000000000000005</v>
      </c>
      <c r="L26" s="1">
        <f>SUMPRODUCT(E$12:E$17,C$12:C$17)/(COUNT(C$12:C$17)-1)</f>
        <v>-2.2000000000000002</v>
      </c>
      <c r="M26" s="1">
        <f>SUMPRODUCT(E$12:E$17,D$12:D$17)/(COUNT(D$12:D$17)-1)</f>
        <v>1.7333333333333336</v>
      </c>
      <c r="N26" s="1">
        <f>SUMPRODUCT(E$12:E$17,E$12:E$17)/(COUNT(E$12:E$17)-1)</f>
        <v>2.9666666666666663</v>
      </c>
      <c r="O26" s="1"/>
      <c r="X26" s="1"/>
      <c r="AA26" s="1"/>
    </row>
    <row r="27" spans="1:27" x14ac:dyDescent="0.25">
      <c r="A27" s="48"/>
      <c r="B27" s="1">
        <f t="shared" ref="B27:E27" si="9">$G$6*B17</f>
        <v>-0.2</v>
      </c>
      <c r="C27" s="1">
        <f t="shared" si="9"/>
        <v>-0.2</v>
      </c>
      <c r="D27" s="1">
        <f t="shared" si="9"/>
        <v>0.1333333333333333</v>
      </c>
      <c r="E27" s="78">
        <f t="shared" si="9"/>
        <v>0.3666666666666667</v>
      </c>
      <c r="K27" s="1" t="str">
        <f ca="1">_xlfn.FORMULATEXT(K23)</f>
        <v>=SUMPRODUCT($B$12:$B$17,B$12:B$17)/(COUNT(B$12:B$17)-1)</v>
      </c>
      <c r="L27" s="1"/>
      <c r="M27" s="1"/>
      <c r="N27" s="1"/>
      <c r="O27" s="1"/>
      <c r="W27" s="1"/>
      <c r="X27" s="1"/>
    </row>
    <row r="28" spans="1:27" ht="15.75" thickBot="1" x14ac:dyDescent="0.3">
      <c r="A28" s="53"/>
      <c r="B28" s="69">
        <f t="shared" ref="B28:E28" si="10">$G$6*B18</f>
        <v>0</v>
      </c>
      <c r="C28" s="69">
        <f t="shared" si="10"/>
        <v>0</v>
      </c>
      <c r="D28" s="69">
        <f t="shared" si="10"/>
        <v>-2.9605947323337507E-17</v>
      </c>
      <c r="E28" s="80">
        <f t="shared" si="10"/>
        <v>0</v>
      </c>
      <c r="N28" s="1"/>
      <c r="W28" s="1"/>
      <c r="X28" s="1"/>
    </row>
    <row r="29" spans="1:27" ht="15.75" thickBot="1" x14ac:dyDescent="0.3">
      <c r="A29" s="46" t="s">
        <v>98</v>
      </c>
      <c r="B29" s="86">
        <f>AVERAGE(B22:B28)</f>
        <v>7.9301644616082606E-18</v>
      </c>
      <c r="C29" s="86">
        <f t="shared" ref="C29:E29" si="11">AVERAGE(C22:C28)</f>
        <v>7.9301644616082606E-18</v>
      </c>
      <c r="D29" s="86">
        <f t="shared" si="11"/>
        <v>-3.5950078892624118E-17</v>
      </c>
      <c r="E29" s="87">
        <f t="shared" si="11"/>
        <v>2.3790493384824782E-17</v>
      </c>
      <c r="N29" s="1"/>
    </row>
    <row r="30" spans="1:27" x14ac:dyDescent="0.25">
      <c r="B30" s="1" t="str">
        <f ca="1">_xlfn.FORMULATEXT(B29)</f>
        <v>=AVERAGE(B22:B28)</v>
      </c>
      <c r="C30" s="1"/>
      <c r="D30" s="1"/>
      <c r="E30" s="1"/>
      <c r="N30" s="1"/>
      <c r="W30" s="1"/>
      <c r="X30" s="1"/>
      <c r="Y30" s="1"/>
      <c r="Z30" s="1"/>
    </row>
    <row r="34" spans="10:19" x14ac:dyDescent="0.25">
      <c r="N34" s="1"/>
    </row>
    <row r="35" spans="10:19" x14ac:dyDescent="0.25">
      <c r="N35" s="1"/>
    </row>
    <row r="36" spans="10:19" x14ac:dyDescent="0.25">
      <c r="N36" s="1"/>
    </row>
    <row r="37" spans="10:19" x14ac:dyDescent="0.25">
      <c r="N37" s="1"/>
    </row>
    <row r="38" spans="10:19" x14ac:dyDescent="0.25">
      <c r="N38" s="1"/>
      <c r="P38" s="1"/>
      <c r="Q38" s="1"/>
      <c r="R38" s="1"/>
      <c r="S38" s="1"/>
    </row>
    <row r="39" spans="10:19" x14ac:dyDescent="0.25">
      <c r="N39" s="1"/>
      <c r="P39" s="1"/>
      <c r="Q39" s="1"/>
      <c r="R39" s="1"/>
      <c r="S39" s="1"/>
    </row>
    <row r="40" spans="10:19" x14ac:dyDescent="0.25">
      <c r="J40" s="1"/>
      <c r="K40" s="1"/>
      <c r="M40" s="1"/>
      <c r="N40" s="1"/>
      <c r="P40" s="1"/>
      <c r="Q40" s="1"/>
      <c r="R40" s="1"/>
      <c r="S40" s="1"/>
    </row>
    <row r="41" spans="10:19" x14ac:dyDescent="0.25">
      <c r="N41" s="1"/>
      <c r="P41" s="1"/>
      <c r="Q41" s="1"/>
      <c r="R41" s="1"/>
      <c r="S41" s="1"/>
    </row>
    <row r="42" spans="10:19" x14ac:dyDescent="0.25">
      <c r="N42" s="1"/>
      <c r="P42" s="1"/>
      <c r="Q42" s="1"/>
      <c r="R42" s="1"/>
      <c r="S42" s="1"/>
    </row>
    <row r="43" spans="10:19" x14ac:dyDescent="0.25">
      <c r="N43" s="1"/>
      <c r="P43" s="1"/>
      <c r="Q43" s="1"/>
      <c r="R43" s="1"/>
      <c r="S43" s="1"/>
    </row>
    <row r="44" spans="10:19" x14ac:dyDescent="0.25">
      <c r="N44" s="1"/>
    </row>
    <row r="45" spans="10:19" x14ac:dyDescent="0.25">
      <c r="N45" s="1"/>
    </row>
    <row r="46" spans="10:19" x14ac:dyDescent="0.25">
      <c r="N46" s="1"/>
    </row>
    <row r="47" spans="10:19" x14ac:dyDescent="0.25">
      <c r="J47" s="1"/>
      <c r="K47" s="1"/>
      <c r="L47" s="1"/>
      <c r="M47" s="1"/>
    </row>
    <row r="53" spans="14:14" x14ac:dyDescent="0.25">
      <c r="N53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93621-1819-47F8-8C4A-7078B3B88665}">
  <dimension ref="A1:N26"/>
  <sheetViews>
    <sheetView workbookViewId="0">
      <selection activeCell="T29" sqref="T29"/>
    </sheetView>
  </sheetViews>
  <sheetFormatPr defaultRowHeight="15" x14ac:dyDescent="0.25"/>
  <cols>
    <col min="5" max="5" width="4.5703125" customWidth="1"/>
    <col min="6" max="6" width="11.7109375" bestFit="1" customWidth="1"/>
    <col min="7" max="7" width="11" bestFit="1" customWidth="1"/>
    <col min="8" max="8" width="12" bestFit="1" customWidth="1"/>
  </cols>
  <sheetData>
    <row r="1" spans="1:14" ht="18.75" thickBot="1" x14ac:dyDescent="0.4">
      <c r="A1" s="81" t="s">
        <v>199</v>
      </c>
      <c r="B1" s="86"/>
      <c r="C1" s="86"/>
      <c r="D1" s="87"/>
      <c r="G1" s="46" t="s">
        <v>200</v>
      </c>
      <c r="H1" s="45"/>
      <c r="I1" s="45"/>
      <c r="J1" s="44"/>
    </row>
    <row r="2" spans="1:14" x14ac:dyDescent="0.25">
      <c r="A2" s="95">
        <f>'Covar cent+scaled'!P16</f>
        <v>2.4000000000000004</v>
      </c>
      <c r="B2" s="126">
        <f>'Covar cent+scaled'!Q16</f>
        <v>2</v>
      </c>
      <c r="C2" s="126">
        <f>'Covar cent+scaled'!R16</f>
        <v>-1.6</v>
      </c>
      <c r="D2" s="127">
        <f>'Covar cent+scaled'!S16</f>
        <v>-2.6000000000000005</v>
      </c>
      <c r="G2" s="134" cm="1">
        <f t="array" ref="G2:J5">MMULT(A9:D12,A16:D19)</f>
        <v>2.4000000000000004</v>
      </c>
      <c r="H2" s="135">
        <v>2</v>
      </c>
      <c r="I2" s="136">
        <v>-1.6000000000000003</v>
      </c>
      <c r="J2" s="137">
        <v>-2.6000000000000005</v>
      </c>
    </row>
    <row r="3" spans="1:14" x14ac:dyDescent="0.25">
      <c r="A3" s="128">
        <f>'Covar cent+scaled'!P17</f>
        <v>2</v>
      </c>
      <c r="B3" s="129">
        <f>'Covar cent+scaled'!Q17</f>
        <v>2.4000000000000004</v>
      </c>
      <c r="C3" s="129">
        <f>'Covar cent+scaled'!R17</f>
        <v>-1.7999999999999998</v>
      </c>
      <c r="D3" s="130">
        <f>'Covar cent+scaled'!S17</f>
        <v>-2.2000000000000002</v>
      </c>
      <c r="G3" s="138">
        <v>2</v>
      </c>
      <c r="H3" s="139">
        <v>2.4000000000000004</v>
      </c>
      <c r="I3" s="140">
        <v>-1.7999999999999998</v>
      </c>
      <c r="J3" s="141">
        <v>-2.2000000000000002</v>
      </c>
    </row>
    <row r="4" spans="1:14" x14ac:dyDescent="0.25">
      <c r="A4" s="128">
        <f>'Covar cent+scaled'!P18</f>
        <v>-1.6</v>
      </c>
      <c r="B4" s="129">
        <f>'Covar cent+scaled'!Q18</f>
        <v>-1.7999999999999998</v>
      </c>
      <c r="C4" s="129">
        <f>'Covar cent+scaled'!R18</f>
        <v>1.466666666666667</v>
      </c>
      <c r="D4" s="130">
        <f>'Covar cent+scaled'!S18</f>
        <v>1.7333333333333336</v>
      </c>
      <c r="G4" s="142">
        <v>-1.6000000000000003</v>
      </c>
      <c r="H4" s="140">
        <v>-1.7999999999999998</v>
      </c>
      <c r="I4" s="139">
        <v>1.4666666666666672</v>
      </c>
      <c r="J4" s="143">
        <v>1.7333333333333336</v>
      </c>
    </row>
    <row r="5" spans="1:14" ht="15.75" thickBot="1" x14ac:dyDescent="0.3">
      <c r="A5" s="131">
        <f>'Covar cent+scaled'!P19</f>
        <v>-2.6000000000000005</v>
      </c>
      <c r="B5" s="132">
        <f>'Covar cent+scaled'!Q19</f>
        <v>-2.2000000000000002</v>
      </c>
      <c r="C5" s="132">
        <f>'Covar cent+scaled'!R19</f>
        <v>1.7333333333333336</v>
      </c>
      <c r="D5" s="133">
        <f>'Covar cent+scaled'!S19</f>
        <v>2.9666666666666668</v>
      </c>
      <c r="G5" s="144">
        <v>-2.6000000000000005</v>
      </c>
      <c r="H5" s="145">
        <v>-2.2000000000000002</v>
      </c>
      <c r="I5" s="146">
        <v>1.7333333333333336</v>
      </c>
      <c r="J5" s="147">
        <v>2.9666666666666668</v>
      </c>
    </row>
    <row r="6" spans="1:14" x14ac:dyDescent="0.25">
      <c r="A6" s="1" t="str">
        <f ca="1">_xlfn.FORMULATEXT(A2)</f>
        <v>='Covar cent+scaled'!P16</v>
      </c>
      <c r="B6" s="1"/>
      <c r="C6" s="1"/>
      <c r="D6" s="1"/>
      <c r="G6" t="str">
        <f ca="1">_xlfn.FORMULATEXT(G2)</f>
        <v>=MMULT(A9:D12,A16:D19)</v>
      </c>
    </row>
    <row r="7" spans="1:14" ht="15.75" thickBot="1" x14ac:dyDescent="0.3">
      <c r="A7" s="1"/>
      <c r="B7" s="1"/>
      <c r="C7" s="1"/>
      <c r="D7" s="1"/>
    </row>
    <row r="8" spans="1:14" ht="15.75" thickBot="1" x14ac:dyDescent="0.3">
      <c r="A8" s="46" t="s">
        <v>108</v>
      </c>
      <c r="B8" s="45"/>
      <c r="C8" s="45"/>
      <c r="D8" s="44"/>
      <c r="F8" t="s">
        <v>120</v>
      </c>
      <c r="J8" t="s">
        <v>121</v>
      </c>
      <c r="N8" t="s">
        <v>122</v>
      </c>
    </row>
    <row r="9" spans="1:14" x14ac:dyDescent="0.25">
      <c r="A9" s="93">
        <f>SQRT(A2)</f>
        <v>1.5491933384829668</v>
      </c>
      <c r="B9" s="50">
        <v>0</v>
      </c>
      <c r="C9" s="50">
        <v>0</v>
      </c>
      <c r="D9" s="49">
        <v>0</v>
      </c>
      <c r="F9" t="s">
        <v>110</v>
      </c>
      <c r="G9" t="str">
        <f ca="1">_xlfn.FORMULATEXT(A9)</f>
        <v>=SQRT(A2)</v>
      </c>
      <c r="J9" t="s">
        <v>114</v>
      </c>
      <c r="K9" t="str">
        <f ca="1">_xlfn.FORMULATEXT(A10)</f>
        <v>=B2/A9</v>
      </c>
      <c r="N9" t="s">
        <v>123</v>
      </c>
    </row>
    <row r="10" spans="1:14" x14ac:dyDescent="0.25">
      <c r="A10" s="113">
        <f>B2/A9</f>
        <v>1.2909944487358056</v>
      </c>
      <c r="B10" s="168">
        <f>SQRT(B3-A10^2)</f>
        <v>0.85634883857767552</v>
      </c>
      <c r="C10">
        <v>0</v>
      </c>
      <c r="D10" s="47">
        <v>0</v>
      </c>
      <c r="F10" t="s">
        <v>113</v>
      </c>
      <c r="G10" t="str">
        <f ca="1">_xlfn.FORMULATEXT(B10)</f>
        <v>=SQRT(B3-A10^2)</v>
      </c>
      <c r="J10" t="s">
        <v>115</v>
      </c>
      <c r="K10" t="str">
        <f ca="1">_xlfn.FORMULATEXT(A11)</f>
        <v>=C2/A9</v>
      </c>
      <c r="N10" t="s">
        <v>124</v>
      </c>
    </row>
    <row r="11" spans="1:14" x14ac:dyDescent="0.25">
      <c r="A11" s="113">
        <f>C2/A9</f>
        <v>-1.0327955589886446</v>
      </c>
      <c r="B11" s="168">
        <f>(C3-A10*A11)/B10</f>
        <v>-0.5449492609130655</v>
      </c>
      <c r="C11" s="168">
        <f>SQRT(C4-A11^2-B11^2)</f>
        <v>0.32098333762097964</v>
      </c>
      <c r="D11" s="47">
        <v>0</v>
      </c>
      <c r="F11" t="s">
        <v>111</v>
      </c>
      <c r="G11" t="str">
        <f ca="1">_xlfn.FORMULATEXT(C11)</f>
        <v>=SQRT(C4-A11^2-B11^2)</v>
      </c>
      <c r="J11" t="s">
        <v>116</v>
      </c>
      <c r="K11" t="str">
        <f ca="1">_xlfn.FORMULATEXT(A12)</f>
        <v>=D2/A9</v>
      </c>
      <c r="N11" t="s">
        <v>125</v>
      </c>
    </row>
    <row r="12" spans="1:14" ht="15.75" thickBot="1" x14ac:dyDescent="0.3">
      <c r="A12" s="114">
        <f>D2/A9</f>
        <v>-1.6782927833565475</v>
      </c>
      <c r="B12" s="169">
        <f>(D3-A10*A12)/B10</f>
        <v>-3.8924947208076002E-2</v>
      </c>
      <c r="C12" s="169">
        <f>(D4-A11*A12-B11*B12)/C11</f>
        <v>-6.6084804804319219E-2</v>
      </c>
      <c r="D12" s="170">
        <f>SQRT(D5-A12^2-B12^2-C12^2)</f>
        <v>0.37962830118264757</v>
      </c>
      <c r="F12" t="s">
        <v>112</v>
      </c>
      <c r="G12" t="str">
        <f ca="1">_xlfn.FORMULATEXT(D12)</f>
        <v>=SQRT(D5-A12^2-B12^2-C12^2)</v>
      </c>
      <c r="J12" t="s">
        <v>117</v>
      </c>
      <c r="K12" t="str">
        <f ca="1">_xlfn.FORMULATEXT(B11)</f>
        <v>=(C3-A10*A11)/B10</v>
      </c>
      <c r="N12" t="s">
        <v>126</v>
      </c>
    </row>
    <row r="13" spans="1:14" x14ac:dyDescent="0.25">
      <c r="J13" t="s">
        <v>118</v>
      </c>
      <c r="K13" t="str">
        <f ca="1">_xlfn.FORMULATEXT(B12)</f>
        <v>=(D3-A10*A12)/B10</v>
      </c>
      <c r="N13" t="s">
        <v>127</v>
      </c>
    </row>
    <row r="14" spans="1:14" ht="15.75" thickBot="1" x14ac:dyDescent="0.3">
      <c r="J14" t="s">
        <v>119</v>
      </c>
      <c r="K14" t="str">
        <f ca="1">_xlfn.FORMULATEXT(C12)</f>
        <v>=(D4-A11*A12-B11*B12)/C11</v>
      </c>
      <c r="N14" t="s">
        <v>128</v>
      </c>
    </row>
    <row r="15" spans="1:14" ht="17.25" thickBot="1" x14ac:dyDescent="0.3">
      <c r="A15" s="46" t="s">
        <v>109</v>
      </c>
      <c r="B15" s="45"/>
      <c r="C15" s="45"/>
      <c r="D15" s="44"/>
    </row>
    <row r="16" spans="1:14" x14ac:dyDescent="0.25">
      <c r="A16" s="93" cm="1">
        <f t="array" ref="A16:D19">TRANSPOSE(A9:D12)</f>
        <v>1.5491933384829668</v>
      </c>
      <c r="B16" s="119">
        <v>1.2909944487358056</v>
      </c>
      <c r="C16" s="119">
        <v>-1.0327955589886446</v>
      </c>
      <c r="D16" s="154">
        <v>-1.6782927833565475</v>
      </c>
    </row>
    <row r="17" spans="1:4" x14ac:dyDescent="0.25">
      <c r="A17" s="48">
        <v>0</v>
      </c>
      <c r="B17" s="73">
        <v>0.85634883857767552</v>
      </c>
      <c r="C17" s="73">
        <v>-0.5449492609130655</v>
      </c>
      <c r="D17" s="108">
        <v>-3.8924947208076002E-2</v>
      </c>
    </row>
    <row r="18" spans="1:4" x14ac:dyDescent="0.25">
      <c r="A18" s="48">
        <v>0</v>
      </c>
      <c r="B18">
        <v>0</v>
      </c>
      <c r="C18" s="73">
        <v>0.32098333762097964</v>
      </c>
      <c r="D18" s="108">
        <v>-6.6084804804319219E-2</v>
      </c>
    </row>
    <row r="19" spans="1:4" ht="15.75" thickBot="1" x14ac:dyDescent="0.3">
      <c r="A19" s="53">
        <v>0</v>
      </c>
      <c r="B19" s="56">
        <v>0</v>
      </c>
      <c r="C19" s="56">
        <v>0</v>
      </c>
      <c r="D19" s="94">
        <v>0.37962830118264757</v>
      </c>
    </row>
    <row r="20" spans="1:4" x14ac:dyDescent="0.25">
      <c r="A20" t="str">
        <f ca="1">_xlfn.FORMULATEXT(A16)</f>
        <v>=TRANSPOSE(A9:D12)</v>
      </c>
    </row>
    <row r="24" spans="1:4" x14ac:dyDescent="0.25">
      <c r="B24" s="1"/>
    </row>
    <row r="25" spans="1:4" x14ac:dyDescent="0.25">
      <c r="B25" s="1"/>
    </row>
    <row r="26" spans="1:4" x14ac:dyDescent="0.25">
      <c r="B26" s="1"/>
      <c r="C26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246E4-2B44-4F90-B7B2-C9278FA25726}">
  <dimension ref="A1:H4"/>
  <sheetViews>
    <sheetView workbookViewId="0">
      <selection activeCell="H8" sqref="H8"/>
    </sheetView>
  </sheetViews>
  <sheetFormatPr defaultRowHeight="15" x14ac:dyDescent="0.25"/>
  <cols>
    <col min="3" max="3" width="3" customWidth="1"/>
    <col min="5" max="5" width="3" customWidth="1"/>
  </cols>
  <sheetData>
    <row r="1" spans="1:8" x14ac:dyDescent="0.25">
      <c r="A1" t="s">
        <v>0</v>
      </c>
      <c r="D1" t="s">
        <v>10</v>
      </c>
      <c r="F1" t="s">
        <v>147</v>
      </c>
      <c r="G1" s="66" t="s">
        <v>145</v>
      </c>
      <c r="H1" s="75" t="s">
        <v>146</v>
      </c>
    </row>
    <row r="2" spans="1:8" x14ac:dyDescent="0.25">
      <c r="A2" s="74">
        <v>-2</v>
      </c>
      <c r="B2" s="74">
        <v>2.5</v>
      </c>
      <c r="D2" s="57">
        <v>2</v>
      </c>
      <c r="F2" s="55" cm="1">
        <f t="array" ref="F2:F3">MMULT(A2:B3,D2:D3)</f>
        <v>6</v>
      </c>
      <c r="H2" s="55">
        <v>2</v>
      </c>
    </row>
    <row r="3" spans="1:8" x14ac:dyDescent="0.25">
      <c r="A3" s="74">
        <v>2</v>
      </c>
      <c r="B3" s="74">
        <v>2</v>
      </c>
      <c r="D3" s="57">
        <v>4</v>
      </c>
      <c r="F3" s="55">
        <v>12</v>
      </c>
      <c r="H3" s="55">
        <v>4</v>
      </c>
    </row>
    <row r="4" spans="1:8" x14ac:dyDescent="0.25">
      <c r="F4" t="str">
        <f ca="1">_xlfn.FORMULATEXT(F2)</f>
        <v>=MMULT(A2:B3,D2:D3)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08AA2-37F0-4F1C-A3FD-5CA746D81D7D}">
  <dimension ref="A1:U32"/>
  <sheetViews>
    <sheetView workbookViewId="0">
      <selection activeCell="V57" sqref="V57"/>
    </sheetView>
  </sheetViews>
  <sheetFormatPr defaultRowHeight="15" x14ac:dyDescent="0.25"/>
  <cols>
    <col min="2" max="2" width="10.28515625" customWidth="1"/>
    <col min="3" max="3" width="12.28515625" customWidth="1"/>
    <col min="5" max="5" width="8" customWidth="1"/>
    <col min="6" max="6" width="5.5703125" customWidth="1"/>
    <col min="17" max="17" width="8.85546875" customWidth="1"/>
  </cols>
  <sheetData>
    <row r="1" spans="1:21" ht="15.75" thickBot="1" x14ac:dyDescent="0.3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F1" s="45"/>
      <c r="G1" s="46" t="s">
        <v>135</v>
      </c>
      <c r="H1" s="45"/>
      <c r="I1" s="45"/>
      <c r="J1" s="44"/>
      <c r="L1" t="s">
        <v>172</v>
      </c>
      <c r="R1" s="85" t="s">
        <v>108</v>
      </c>
      <c r="S1" s="45"/>
      <c r="T1" s="45"/>
      <c r="U1" s="44"/>
    </row>
    <row r="2" spans="1:21" ht="15.75" thickBot="1" x14ac:dyDescent="0.3">
      <c r="A2" s="148" t="s">
        <v>89</v>
      </c>
      <c r="B2" s="50">
        <v>5</v>
      </c>
      <c r="C2" s="50">
        <v>4</v>
      </c>
      <c r="D2" s="50">
        <v>2</v>
      </c>
      <c r="E2" s="49">
        <v>1</v>
      </c>
      <c r="F2" s="50"/>
      <c r="G2" s="155" cm="1">
        <f t="array" ref="G2:J3">[1]!eigVALSym(A20:D23)</f>
        <v>8.4148141067871158</v>
      </c>
      <c r="H2" s="156">
        <v>0.67959958156260658</v>
      </c>
      <c r="I2" s="156">
        <v>8.5424379898126374E-2</v>
      </c>
      <c r="J2" s="157">
        <v>5.3495265085481504E-2</v>
      </c>
      <c r="K2" s="96" t="s">
        <v>108</v>
      </c>
      <c r="L2" s="155" cm="1">
        <f t="array" ref="L2:O8">[1]!eigVECTSym(A20:D23)</f>
        <v>8.4148141067871158</v>
      </c>
      <c r="M2" s="156">
        <v>0.67959958156260658</v>
      </c>
      <c r="N2" s="156">
        <v>8.5424379898126374E-2</v>
      </c>
      <c r="O2" s="157">
        <v>5.3495265085481504E-2</v>
      </c>
      <c r="P2" t="s">
        <v>135</v>
      </c>
      <c r="R2" s="98">
        <f>G2</f>
        <v>8.4148141067871158</v>
      </c>
      <c r="S2" s="50">
        <v>0</v>
      </c>
      <c r="T2" s="50">
        <v>0</v>
      </c>
      <c r="U2" s="49">
        <v>0</v>
      </c>
    </row>
    <row r="3" spans="1:21" x14ac:dyDescent="0.25">
      <c r="A3" s="149" t="s">
        <v>92</v>
      </c>
      <c r="B3">
        <v>4</v>
      </c>
      <c r="C3">
        <v>5</v>
      </c>
      <c r="D3">
        <v>2</v>
      </c>
      <c r="E3" s="47">
        <v>2</v>
      </c>
      <c r="G3" s="1">
        <v>-1.9669986558131636E-12</v>
      </c>
      <c r="H3" s="1">
        <v>-4.6024369925868885E-16</v>
      </c>
      <c r="I3" s="1">
        <v>-5.072098858881694E-18</v>
      </c>
      <c r="J3" s="1">
        <v>1.0167183059207636E-16</v>
      </c>
      <c r="K3" s="42" t="s">
        <v>173</v>
      </c>
      <c r="L3" s="82">
        <v>-0.51810244509786019</v>
      </c>
      <c r="M3" s="83">
        <v>-0.38947147186111097</v>
      </c>
      <c r="N3" s="83">
        <v>-0.47163134874514734</v>
      </c>
      <c r="O3" s="84">
        <v>-0.59786762738151422</v>
      </c>
      <c r="R3" s="48">
        <v>0</v>
      </c>
      <c r="S3" s="97">
        <f>H2</f>
        <v>0.67959958156260658</v>
      </c>
      <c r="T3">
        <v>0</v>
      </c>
      <c r="U3" s="47">
        <v>0</v>
      </c>
    </row>
    <row r="4" spans="1:21" x14ac:dyDescent="0.25">
      <c r="A4" s="149" t="s">
        <v>94</v>
      </c>
      <c r="B4">
        <v>1</v>
      </c>
      <c r="C4">
        <v>2</v>
      </c>
      <c r="D4">
        <v>4</v>
      </c>
      <c r="E4" s="47">
        <v>5</v>
      </c>
      <c r="G4" t="str">
        <f ca="1">_xlfn.FORMULATEXT(G2)</f>
        <v>=eigVALSym(A20:D23)</v>
      </c>
      <c r="L4" s="77">
        <v>-0.49925617556474239</v>
      </c>
      <c r="M4" s="1">
        <v>0.63869476492034749</v>
      </c>
      <c r="N4" s="1">
        <v>0.46763672711039106</v>
      </c>
      <c r="O4" s="78">
        <v>-0.35231826504069658</v>
      </c>
      <c r="R4" s="48">
        <v>0</v>
      </c>
      <c r="S4">
        <v>0</v>
      </c>
      <c r="T4" s="97">
        <f>I2</f>
        <v>8.5424379898126374E-2</v>
      </c>
      <c r="U4" s="47">
        <v>0</v>
      </c>
    </row>
    <row r="5" spans="1:21" ht="15.75" thickBot="1" x14ac:dyDescent="0.3">
      <c r="A5" s="149" t="s">
        <v>95</v>
      </c>
      <c r="B5">
        <v>2</v>
      </c>
      <c r="C5">
        <v>1</v>
      </c>
      <c r="D5">
        <v>5</v>
      </c>
      <c r="E5" s="47">
        <v>4</v>
      </c>
      <c r="G5" s="1"/>
      <c r="H5" s="1"/>
      <c r="I5" s="1"/>
      <c r="L5" s="77">
        <v>0.39170923774579081</v>
      </c>
      <c r="M5" s="1">
        <v>-0.43491168123945018</v>
      </c>
      <c r="N5" s="1">
        <v>0.6083474054711977</v>
      </c>
      <c r="O5" s="78">
        <v>-0.53603091034243477</v>
      </c>
      <c r="R5" s="53">
        <v>0</v>
      </c>
      <c r="S5" s="56">
        <v>0</v>
      </c>
      <c r="T5" s="56">
        <v>0</v>
      </c>
      <c r="U5" s="99">
        <f>J2</f>
        <v>5.3495265085481504E-2</v>
      </c>
    </row>
    <row r="6" spans="1:21" ht="15.75" thickBot="1" x14ac:dyDescent="0.3">
      <c r="A6" s="149" t="s">
        <v>96</v>
      </c>
      <c r="B6">
        <v>4</v>
      </c>
      <c r="C6">
        <v>4</v>
      </c>
      <c r="D6">
        <v>3</v>
      </c>
      <c r="E6" s="47">
        <v>2</v>
      </c>
      <c r="G6" s="1"/>
      <c r="H6" s="1"/>
      <c r="I6" s="1"/>
      <c r="L6" s="79">
        <v>0.57347798615875178</v>
      </c>
      <c r="M6" s="69">
        <v>0.50123128333251243</v>
      </c>
      <c r="N6" s="69">
        <v>-0.43450339077477551</v>
      </c>
      <c r="O6" s="80">
        <v>-0.48072549693704936</v>
      </c>
      <c r="R6" t="str">
        <f ca="1">_xlfn.FORMULATEXT(R2)</f>
        <v>=G2</v>
      </c>
      <c r="S6" t="str">
        <f ca="1">_xlfn.FORMULATEXT(S3)</f>
        <v>=H2</v>
      </c>
      <c r="T6" t="str">
        <f ca="1">_xlfn.FORMULATEXT(T4)</f>
        <v>=I2</v>
      </c>
      <c r="U6" t="str">
        <f ca="1">_xlfn.FORMULATEXT(U5)</f>
        <v>=J2</v>
      </c>
    </row>
    <row r="7" spans="1:21" ht="15.75" thickBot="1" x14ac:dyDescent="0.3">
      <c r="A7" s="150" t="s">
        <v>97</v>
      </c>
      <c r="B7" s="56">
        <v>2</v>
      </c>
      <c r="C7" s="56">
        <v>2</v>
      </c>
      <c r="D7" s="56">
        <v>4</v>
      </c>
      <c r="E7" s="52">
        <v>5</v>
      </c>
      <c r="G7" s="1"/>
      <c r="H7" s="1"/>
      <c r="I7" s="1"/>
      <c r="L7" s="1">
        <v>-1.9669986558131636E-12</v>
      </c>
      <c r="M7" s="1">
        <v>-4.6024369925868885E-16</v>
      </c>
      <c r="N7" s="1">
        <v>-5.072098858881694E-18</v>
      </c>
      <c r="O7" s="1">
        <v>1.0167183059207636E-16</v>
      </c>
      <c r="R7" s="1"/>
      <c r="S7" s="1"/>
      <c r="T7" s="1"/>
      <c r="U7" s="1"/>
    </row>
    <row r="8" spans="1:21" ht="15.75" thickBot="1" x14ac:dyDescent="0.3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F8" s="1"/>
      <c r="L8" s="1">
        <v>6.6613381477509392E-15</v>
      </c>
      <c r="M8" s="1">
        <v>4.4408920985006262E-16</v>
      </c>
      <c r="N8" s="1">
        <v>4.4408920985006262E-16</v>
      </c>
      <c r="O8" s="1">
        <v>1.3322676295501878E-15</v>
      </c>
      <c r="R8" s="1"/>
      <c r="S8" s="1"/>
      <c r="T8" s="1"/>
      <c r="U8" s="1"/>
    </row>
    <row r="9" spans="1:21" ht="15.75" thickBot="1" x14ac:dyDescent="0.3">
      <c r="B9" s="1"/>
      <c r="C9" s="1"/>
      <c r="D9" s="1"/>
      <c r="E9" s="1"/>
      <c r="F9" s="72"/>
      <c r="G9" s="72"/>
      <c r="H9" s="72"/>
      <c r="I9" s="72"/>
      <c r="L9" t="str">
        <f ca="1">_xlfn.FORMULATEXT(L2)</f>
        <v>=eigVECTSym(A20:D23)</v>
      </c>
      <c r="R9" s="1"/>
      <c r="S9" s="1"/>
      <c r="T9" s="1"/>
      <c r="U9" s="1"/>
    </row>
    <row r="10" spans="1:21" ht="18.75" thickBot="1" x14ac:dyDescent="0.4">
      <c r="A10" s="51" t="s">
        <v>100</v>
      </c>
      <c r="B10" s="50"/>
      <c r="C10" s="50"/>
      <c r="D10" s="50"/>
      <c r="E10" s="49"/>
      <c r="R10" s="1" t="s">
        <v>180</v>
      </c>
    </row>
    <row r="11" spans="1:21" ht="17.25" thickBot="1" x14ac:dyDescent="0.3">
      <c r="A11" s="51"/>
      <c r="B11" s="83">
        <f>B2-B$8</f>
        <v>2</v>
      </c>
      <c r="C11" s="83">
        <f t="shared" ref="C11:E11" si="1">C2-C$8</f>
        <v>1</v>
      </c>
      <c r="D11" s="83">
        <f t="shared" si="1"/>
        <v>-1.3333333333333335</v>
      </c>
      <c r="E11" s="84">
        <f t="shared" si="1"/>
        <v>-2.1666666666666665</v>
      </c>
      <c r="G11" s="46" t="s">
        <v>174</v>
      </c>
      <c r="H11" s="45"/>
      <c r="I11" s="45"/>
      <c r="J11" s="44"/>
      <c r="K11" s="66" t="s">
        <v>176</v>
      </c>
      <c r="L11" s="103" t="s">
        <v>175</v>
      </c>
      <c r="M11" s="45"/>
      <c r="N11" s="45"/>
      <c r="O11" s="44"/>
      <c r="R11" s="46" t="s">
        <v>179</v>
      </c>
      <c r="S11" s="45"/>
      <c r="T11" s="45"/>
      <c r="U11" s="44"/>
    </row>
    <row r="12" spans="1:21" x14ac:dyDescent="0.25">
      <c r="A12" s="48"/>
      <c r="B12" s="1">
        <f t="shared" ref="B12:E16" si="2">B3-B$8</f>
        <v>1</v>
      </c>
      <c r="C12" s="1">
        <f t="shared" si="2"/>
        <v>2</v>
      </c>
      <c r="D12" s="1">
        <f t="shared" si="2"/>
        <v>-1.3333333333333335</v>
      </c>
      <c r="E12" s="78">
        <f t="shared" si="2"/>
        <v>-1.1666666666666665</v>
      </c>
      <c r="G12" s="82" cm="1">
        <f t="array" ref="G12:J15">TRANSPOSE(L3:O6)</f>
        <v>-0.51810244509786019</v>
      </c>
      <c r="H12" s="83">
        <v>-0.49925617556474239</v>
      </c>
      <c r="I12" s="83">
        <v>0.39170923774579081</v>
      </c>
      <c r="J12" s="84">
        <v>0.57347798615875178</v>
      </c>
      <c r="L12" s="82" cm="1">
        <f t="array" ref="L12:O15">MINVERSE(L3:O6)</f>
        <v>-0.51810244509785974</v>
      </c>
      <c r="M12" s="83">
        <v>-0.49925617556474222</v>
      </c>
      <c r="N12" s="83">
        <v>0.39170923774579064</v>
      </c>
      <c r="O12" s="84">
        <v>0.57347798615875256</v>
      </c>
      <c r="R12" s="82" cm="1">
        <f t="array" ref="R12:U15">MMULT(MMULT(L3:O6,R2:U5),L12:O15)</f>
        <v>2.4000000000000004</v>
      </c>
      <c r="S12" s="83">
        <v>2.0000000000000009</v>
      </c>
      <c r="T12" s="83">
        <v>-1.600000000000001</v>
      </c>
      <c r="U12" s="84">
        <v>-2.6000000000000028</v>
      </c>
    </row>
    <row r="13" spans="1:21" x14ac:dyDescent="0.25">
      <c r="A13" s="48"/>
      <c r="B13" s="1">
        <f t="shared" si="2"/>
        <v>-2</v>
      </c>
      <c r="C13" s="1">
        <f t="shared" si="2"/>
        <v>-1</v>
      </c>
      <c r="D13" s="1">
        <f t="shared" si="2"/>
        <v>0.66666666666666652</v>
      </c>
      <c r="E13" s="78">
        <f t="shared" si="2"/>
        <v>1.8333333333333335</v>
      </c>
      <c r="G13" s="77">
        <v>-0.38947147186111097</v>
      </c>
      <c r="H13" s="1">
        <v>0.63869476492034749</v>
      </c>
      <c r="I13" s="1">
        <v>-0.43491168123945018</v>
      </c>
      <c r="J13" s="78">
        <v>0.50123128333251243</v>
      </c>
      <c r="L13" s="77">
        <v>-0.38947147186111031</v>
      </c>
      <c r="M13" s="1">
        <v>0.63869476492034694</v>
      </c>
      <c r="N13" s="1">
        <v>-0.4349116812394499</v>
      </c>
      <c r="O13" s="78">
        <v>0.50123128333251266</v>
      </c>
      <c r="R13" s="77">
        <v>1.9999999999999996</v>
      </c>
      <c r="S13" s="1">
        <v>2.4000000000000008</v>
      </c>
      <c r="T13" s="1">
        <v>-1.7999999999999996</v>
      </c>
      <c r="U13" s="78">
        <v>-2.2000000000000006</v>
      </c>
    </row>
    <row r="14" spans="1:21" x14ac:dyDescent="0.25">
      <c r="A14" s="48"/>
      <c r="B14" s="1">
        <f t="shared" si="2"/>
        <v>-1</v>
      </c>
      <c r="C14" s="1">
        <f t="shared" si="2"/>
        <v>-2</v>
      </c>
      <c r="D14" s="1">
        <f t="shared" si="2"/>
        <v>1.6666666666666665</v>
      </c>
      <c r="E14" s="78">
        <f t="shared" si="2"/>
        <v>0.83333333333333348</v>
      </c>
      <c r="G14" s="77">
        <v>-0.47163134874514734</v>
      </c>
      <c r="H14" s="1">
        <v>0.46763672711039106</v>
      </c>
      <c r="I14" s="1">
        <v>0.6083474054711977</v>
      </c>
      <c r="J14" s="78">
        <v>-0.43450339077477551</v>
      </c>
      <c r="L14" s="77">
        <v>-0.47163134874513807</v>
      </c>
      <c r="M14" s="1">
        <v>0.46763672711039606</v>
      </c>
      <c r="N14" s="1">
        <v>0.60834740547120536</v>
      </c>
      <c r="O14" s="78">
        <v>-0.43450339077476885</v>
      </c>
      <c r="R14" s="77">
        <v>-1.6</v>
      </c>
      <c r="S14" s="1">
        <v>-1.7999999999999996</v>
      </c>
      <c r="T14" s="1">
        <v>1.466666666666667</v>
      </c>
      <c r="U14" s="78">
        <v>1.7333333333333338</v>
      </c>
    </row>
    <row r="15" spans="1:21" ht="15.75" thickBot="1" x14ac:dyDescent="0.3">
      <c r="A15" s="48"/>
      <c r="B15" s="1">
        <f t="shared" si="2"/>
        <v>1</v>
      </c>
      <c r="C15" s="1">
        <f t="shared" si="2"/>
        <v>1</v>
      </c>
      <c r="D15" s="1">
        <f t="shared" si="2"/>
        <v>-0.33333333333333348</v>
      </c>
      <c r="E15" s="78">
        <f t="shared" si="2"/>
        <v>-1.1666666666666665</v>
      </c>
      <c r="G15" s="79">
        <v>-0.59786762738151422</v>
      </c>
      <c r="H15" s="69">
        <v>-0.35231826504069658</v>
      </c>
      <c r="I15" s="69">
        <v>-0.53603091034243477</v>
      </c>
      <c r="J15" s="80">
        <v>-0.48072549693704936</v>
      </c>
      <c r="L15" s="79">
        <v>-0.59786762738150678</v>
      </c>
      <c r="M15" s="69">
        <v>-0.3523182650407034</v>
      </c>
      <c r="N15" s="69">
        <v>-0.53603091034244377</v>
      </c>
      <c r="O15" s="80">
        <v>-0.48072549693704358</v>
      </c>
      <c r="R15" s="79">
        <v>-2.599999999999997</v>
      </c>
      <c r="S15" s="69">
        <v>-2.1999999999999962</v>
      </c>
      <c r="T15" s="69">
        <v>1.7333333333333305</v>
      </c>
      <c r="U15" s="80">
        <v>2.9666666666666637</v>
      </c>
    </row>
    <row r="16" spans="1:21" ht="15.75" thickBot="1" x14ac:dyDescent="0.3">
      <c r="A16" s="53"/>
      <c r="B16" s="69">
        <f t="shared" si="2"/>
        <v>-1</v>
      </c>
      <c r="C16" s="69">
        <f t="shared" si="2"/>
        <v>-1</v>
      </c>
      <c r="D16" s="69">
        <f t="shared" si="2"/>
        <v>0.66666666666666652</v>
      </c>
      <c r="E16" s="80">
        <f t="shared" si="2"/>
        <v>1.8333333333333335</v>
      </c>
      <c r="G16" t="str">
        <f ca="1">_xlfn.FORMULATEXT(G12)</f>
        <v>=TRANSPOSE(L3:O6)</v>
      </c>
      <c r="L16" s="1" t="str">
        <f ca="1">_xlfn.FORMULATEXT(L12)</f>
        <v>=MINVERSE(L3:O6)</v>
      </c>
      <c r="M16" s="1"/>
      <c r="N16" s="1"/>
      <c r="O16" s="1"/>
      <c r="R16" t="str">
        <f ca="1">_xlfn.FORMULATEXT(R12)</f>
        <v>=MMULT(MMULT(L3:O6,R2:U5),L12:O15)</v>
      </c>
    </row>
    <row r="17" spans="1:18" ht="15.75" thickBot="1" x14ac:dyDescent="0.3">
      <c r="A17" s="53" t="s">
        <v>98</v>
      </c>
      <c r="B17" s="69">
        <f>AVERAGE(B11:B16)</f>
        <v>0</v>
      </c>
      <c r="C17" s="69">
        <f t="shared" ref="C17:E17" si="3">AVERAGE(C11:C16)</f>
        <v>0</v>
      </c>
      <c r="D17" s="69">
        <f t="shared" si="3"/>
        <v>-1.4802973661668753E-16</v>
      </c>
      <c r="E17" s="80">
        <f t="shared" si="3"/>
        <v>0</v>
      </c>
    </row>
    <row r="18" spans="1:18" ht="17.25" thickBot="1" x14ac:dyDescent="0.3">
      <c r="G18" s="46" t="s">
        <v>177</v>
      </c>
      <c r="H18" s="45"/>
      <c r="I18" s="45"/>
      <c r="J18" s="44"/>
      <c r="L18" s="46" t="s">
        <v>178</v>
      </c>
      <c r="M18" s="45"/>
      <c r="N18" s="45"/>
      <c r="O18" s="44"/>
    </row>
    <row r="19" spans="1:18" ht="15.75" thickBot="1" x14ac:dyDescent="0.3">
      <c r="A19" s="46" t="s">
        <v>167</v>
      </c>
      <c r="B19" s="45"/>
      <c r="C19" s="45"/>
      <c r="D19" s="44"/>
      <c r="G19" s="104" cm="1">
        <f t="array" ref="G19:J22">MMULT(L3:O6,G12:J15)</f>
        <v>1.0000000000000093</v>
      </c>
      <c r="H19" s="105">
        <v>-1.8041124150158794E-15</v>
      </c>
      <c r="I19" s="105">
        <v>-1.609823385706477E-15</v>
      </c>
      <c r="J19" s="106">
        <v>6.9388939039072284E-15</v>
      </c>
      <c r="L19" s="104" cm="1">
        <f t="array" ref="L19:O22">MMULT(G12:J15,L3:O6)</f>
        <v>1</v>
      </c>
      <c r="M19" s="105">
        <v>-2.7755575615628914E-16</v>
      </c>
      <c r="N19" s="105">
        <v>4.7184478546569153E-16</v>
      </c>
      <c r="O19" s="106">
        <v>6.106226635438361E-16</v>
      </c>
      <c r="R19" s="2" t="s">
        <v>183</v>
      </c>
    </row>
    <row r="20" spans="1:18" x14ac:dyDescent="0.25">
      <c r="A20" s="82" cm="1">
        <f t="array" ref="A20:D23">1/(COUNT(B2:B7)-1)*MMULT(TRANSPOSE(B11:E16),B11:E16)</f>
        <v>2.4000000000000004</v>
      </c>
      <c r="B20" s="83">
        <v>2</v>
      </c>
      <c r="C20" s="83">
        <v>-1.6</v>
      </c>
      <c r="D20" s="84">
        <v>-2.6000000000000005</v>
      </c>
      <c r="G20" s="88">
        <v>-1.8041124150158794E-15</v>
      </c>
      <c r="H20" s="3">
        <v>0.99999999999999567</v>
      </c>
      <c r="I20" s="3">
        <v>-6.9944050551384862E-15</v>
      </c>
      <c r="J20" s="89">
        <v>-9.7144514654701197E-16</v>
      </c>
      <c r="L20" s="88">
        <v>-2.7755575615628914E-16</v>
      </c>
      <c r="M20" s="3">
        <v>1.0000000000000007</v>
      </c>
      <c r="N20" s="3">
        <v>4.163336342344337E-16</v>
      </c>
      <c r="O20" s="89">
        <v>4.7184478546569153E-16</v>
      </c>
    </row>
    <row r="21" spans="1:18" ht="16.5" x14ac:dyDescent="0.25">
      <c r="A21" s="77">
        <v>2</v>
      </c>
      <c r="B21" s="1">
        <v>2.4000000000000004</v>
      </c>
      <c r="C21" s="1">
        <v>-1.7999999999999998</v>
      </c>
      <c r="D21" s="78">
        <v>-2.2000000000000002</v>
      </c>
      <c r="G21" s="88">
        <v>-1.609823385706477E-15</v>
      </c>
      <c r="H21" s="3">
        <v>-6.9944050551384862E-15</v>
      </c>
      <c r="I21" s="3">
        <v>0.99999999999999079</v>
      </c>
      <c r="J21" s="89">
        <v>-9.9920072216264089E-16</v>
      </c>
      <c r="L21" s="88">
        <v>4.7184478546569153E-16</v>
      </c>
      <c r="M21" s="3">
        <v>4.163336342344337E-16</v>
      </c>
      <c r="N21" s="3">
        <v>1.0000000000000002</v>
      </c>
      <c r="O21" s="89">
        <v>1.457167719820518E-14</v>
      </c>
      <c r="R21" s="2" t="s">
        <v>186</v>
      </c>
    </row>
    <row r="22" spans="1:18" ht="15.75" thickBot="1" x14ac:dyDescent="0.3">
      <c r="A22" s="77">
        <v>-1.6</v>
      </c>
      <c r="B22" s="1">
        <v>-1.7999999999999998</v>
      </c>
      <c r="C22" s="1">
        <v>1.466666666666667</v>
      </c>
      <c r="D22" s="78">
        <v>1.7333333333333336</v>
      </c>
      <c r="G22" s="90">
        <v>6.9388939039072284E-15</v>
      </c>
      <c r="H22" s="91">
        <v>-9.7144514654701197E-16</v>
      </c>
      <c r="I22" s="91">
        <v>-9.9920072216264089E-16</v>
      </c>
      <c r="J22" s="107">
        <v>1.0000000000000051</v>
      </c>
      <c r="L22" s="90">
        <v>6.106226635438361E-16</v>
      </c>
      <c r="M22" s="91">
        <v>4.7184478546569153E-16</v>
      </c>
      <c r="N22" s="91">
        <v>1.457167719820518E-14</v>
      </c>
      <c r="O22" s="107">
        <v>1</v>
      </c>
    </row>
    <row r="23" spans="1:18" ht="15.75" thickBot="1" x14ac:dyDescent="0.3">
      <c r="A23" s="79">
        <v>-2.6000000000000005</v>
      </c>
      <c r="B23" s="69">
        <v>-2.2000000000000002</v>
      </c>
      <c r="C23" s="69">
        <v>1.7333333333333336</v>
      </c>
      <c r="D23" s="80">
        <v>2.9666666666666668</v>
      </c>
      <c r="G23" s="1" t="str">
        <f ca="1">_xlfn.FORMULATEXT(G19)</f>
        <v>=MMULT(L3:O6,G12:J15)</v>
      </c>
      <c r="H23" s="1"/>
      <c r="I23" s="1"/>
      <c r="J23" s="1"/>
      <c r="L23" t="str">
        <f ca="1">_xlfn.FORMULATEXT(L19)</f>
        <v>=MMULT(G12:J15,L3:O6)</v>
      </c>
    </row>
    <row r="24" spans="1:18" x14ac:dyDescent="0.25">
      <c r="A24" s="1" t="str">
        <f ca="1">_xlfn.FORMULATEXT(A20)</f>
        <v>=1/(COUNT(B2:B7)-1)*MMULT(TRANSPOSE(B11:E16),B11:E16)</v>
      </c>
      <c r="B24" s="1"/>
      <c r="C24" s="1"/>
      <c r="D24" s="1"/>
      <c r="G24" s="1"/>
      <c r="H24" s="1"/>
      <c r="I24" s="1"/>
      <c r="J24" s="1"/>
      <c r="L24" s="1"/>
      <c r="M24" s="1"/>
      <c r="N24" s="1"/>
    </row>
    <row r="25" spans="1:18" ht="10.5" customHeight="1" thickBot="1" x14ac:dyDescent="0.3">
      <c r="A25" s="1"/>
      <c r="B25" s="1"/>
      <c r="C25" s="1"/>
      <c r="D25" s="1"/>
    </row>
    <row r="26" spans="1:18" ht="15.75" thickBot="1" x14ac:dyDescent="0.3">
      <c r="A26" s="51" t="s">
        <v>136</v>
      </c>
      <c r="B26" s="50" t="s">
        <v>137</v>
      </c>
      <c r="C26" s="49" t="s">
        <v>170</v>
      </c>
    </row>
    <row r="27" spans="1:18" x14ac:dyDescent="0.25">
      <c r="A27" s="121">
        <f>L2</f>
        <v>8.4148141067871158</v>
      </c>
      <c r="B27" s="122">
        <f>A27/$A$31</f>
        <v>0.91135170831629442</v>
      </c>
      <c r="C27" s="84">
        <f>B27</f>
        <v>0.91135170831629442</v>
      </c>
    </row>
    <row r="28" spans="1:18" x14ac:dyDescent="0.25">
      <c r="A28" s="123">
        <f>M2</f>
        <v>0.67959958156260658</v>
      </c>
      <c r="B28" s="120">
        <f>A28/$A$31</f>
        <v>7.3602842768513366E-2</v>
      </c>
      <c r="C28" s="78">
        <f>B28+C27</f>
        <v>0.98495455108480778</v>
      </c>
      <c r="D28" s="1"/>
    </row>
    <row r="29" spans="1:18" x14ac:dyDescent="0.25">
      <c r="A29" s="123">
        <f>N2</f>
        <v>8.5424379898126374E-2</v>
      </c>
      <c r="B29" s="120">
        <f>A29/$A$31</f>
        <v>9.2517378951039418E-3</v>
      </c>
      <c r="C29" s="78">
        <f t="shared" ref="C29:C30" si="4">B29+C28</f>
        <v>0.9942062889799117</v>
      </c>
      <c r="D29" s="1"/>
    </row>
    <row r="30" spans="1:18" ht="15.75" thickBot="1" x14ac:dyDescent="0.3">
      <c r="A30" s="124">
        <f>O2</f>
        <v>5.3495265085481504E-2</v>
      </c>
      <c r="B30" s="125">
        <f>A30/$A$31</f>
        <v>5.7937110200882514E-3</v>
      </c>
      <c r="C30" s="80">
        <f t="shared" si="4"/>
        <v>1</v>
      </c>
    </row>
    <row r="31" spans="1:18" ht="15.75" thickBot="1" x14ac:dyDescent="0.3">
      <c r="A31" s="110">
        <f>SUM(A27:A30)</f>
        <v>9.2333333333333307</v>
      </c>
      <c r="B31" s="73" t="str">
        <f ca="1">_xlfn.FORMULATEXT(B27)</f>
        <v>=A27/$A$31</v>
      </c>
    </row>
    <row r="32" spans="1:18" x14ac:dyDescent="0.25">
      <c r="A32" t="str">
        <f ca="1">_xlfn.FORMULATEXT(A31)</f>
        <v>=SUM(A27:A30)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00B43-28E9-4B76-AB2F-85CCFF4B692B}">
  <dimension ref="A1:P10"/>
  <sheetViews>
    <sheetView workbookViewId="0">
      <selection activeCell="H22" sqref="H22"/>
    </sheetView>
  </sheetViews>
  <sheetFormatPr defaultRowHeight="15" x14ac:dyDescent="0.25"/>
  <sheetData>
    <row r="1" spans="1:16" ht="15.75" thickBot="1" x14ac:dyDescent="0.3">
      <c r="A1" s="51" t="s">
        <v>167</v>
      </c>
      <c r="B1" s="50"/>
      <c r="C1" s="50"/>
      <c r="D1" s="49"/>
      <c r="F1" s="46" t="s">
        <v>163</v>
      </c>
      <c r="G1" s="45"/>
      <c r="H1" s="45"/>
      <c r="I1" s="44"/>
      <c r="K1" t="s">
        <v>180</v>
      </c>
    </row>
    <row r="2" spans="1:16" ht="17.25" thickBot="1" x14ac:dyDescent="0.3">
      <c r="A2" s="82">
        <f>EVD!A20</f>
        <v>2.4000000000000004</v>
      </c>
      <c r="B2" s="83">
        <f>EVD!B20</f>
        <v>2</v>
      </c>
      <c r="C2" s="83">
        <f>EVD!C20</f>
        <v>-1.6</v>
      </c>
      <c r="D2" s="84">
        <f>EVD!D20</f>
        <v>-2.6000000000000005</v>
      </c>
      <c r="F2" s="82" cm="1">
        <f t="array" ref="F2:I9">[1]!SPECTRAL(A2:D5,100)</f>
        <v>-0.51810244509786019</v>
      </c>
      <c r="G2" s="83">
        <v>-0.38947147186111097</v>
      </c>
      <c r="H2" s="83">
        <v>-0.47163134874514734</v>
      </c>
      <c r="I2" s="84">
        <v>-0.59786762738151422</v>
      </c>
      <c r="J2" t="s">
        <v>148</v>
      </c>
      <c r="K2" s="46" t="s">
        <v>149</v>
      </c>
      <c r="L2" s="45"/>
      <c r="M2" s="45"/>
      <c r="N2" s="44"/>
      <c r="P2" s="2" t="s">
        <v>191</v>
      </c>
    </row>
    <row r="3" spans="1:16" x14ac:dyDescent="0.25">
      <c r="A3" s="77">
        <f>EVD!A21</f>
        <v>2</v>
      </c>
      <c r="B3" s="1">
        <f>EVD!B21</f>
        <v>2.4000000000000004</v>
      </c>
      <c r="C3" s="1">
        <f>EVD!C21</f>
        <v>-1.7999999999999998</v>
      </c>
      <c r="D3" s="78">
        <f>EVD!D21</f>
        <v>-2.2000000000000002</v>
      </c>
      <c r="F3" s="77">
        <v>-0.49925617556474239</v>
      </c>
      <c r="G3" s="1">
        <v>0.63869476492034749</v>
      </c>
      <c r="H3" s="1">
        <v>0.46763672711039106</v>
      </c>
      <c r="I3" s="78">
        <v>-0.35231826504069658</v>
      </c>
      <c r="K3" s="82" cm="1">
        <f t="array" ref="K3:N6">MMULT(F2:I5,MMULT(F6:I9,TRANSPOSE(F2:I5)))</f>
        <v>2.4000000000000035</v>
      </c>
      <c r="L3" s="83">
        <v>2.0000000000000018</v>
      </c>
      <c r="M3" s="83">
        <v>-1.6000000000000014</v>
      </c>
      <c r="N3" s="84">
        <v>-2.5999999999999988</v>
      </c>
    </row>
    <row r="4" spans="1:16" ht="16.5" x14ac:dyDescent="0.25">
      <c r="A4" s="77">
        <f>EVD!A22</f>
        <v>-1.6</v>
      </c>
      <c r="B4" s="1">
        <f>EVD!B22</f>
        <v>-1.7999999999999998</v>
      </c>
      <c r="C4" s="1">
        <f>EVD!C22</f>
        <v>1.466666666666667</v>
      </c>
      <c r="D4" s="78">
        <f>EVD!D22</f>
        <v>1.7333333333333336</v>
      </c>
      <c r="F4" s="77">
        <v>0.39170923774579081</v>
      </c>
      <c r="G4" s="1">
        <v>-0.43491168123945018</v>
      </c>
      <c r="H4" s="1">
        <v>0.6083474054711977</v>
      </c>
      <c r="I4" s="78">
        <v>-0.53603091034243477</v>
      </c>
      <c r="K4" s="77">
        <v>2.0000000000000013</v>
      </c>
      <c r="L4" s="1">
        <v>2.4000000000000012</v>
      </c>
      <c r="M4" s="1">
        <v>-1.8000000000000009</v>
      </c>
      <c r="N4" s="78">
        <v>-2.1999999999999975</v>
      </c>
      <c r="P4" s="2" t="s">
        <v>187</v>
      </c>
    </row>
    <row r="5" spans="1:16" ht="15.75" thickBot="1" x14ac:dyDescent="0.3">
      <c r="A5" s="79">
        <f>EVD!A23</f>
        <v>-2.6000000000000005</v>
      </c>
      <c r="B5" s="69">
        <f>EVD!B23</f>
        <v>-2.2000000000000002</v>
      </c>
      <c r="C5" s="69">
        <f>EVD!C23</f>
        <v>1.7333333333333336</v>
      </c>
      <c r="D5" s="80">
        <f>EVD!D23</f>
        <v>2.9666666666666668</v>
      </c>
      <c r="F5" s="79">
        <v>0.57347798615875178</v>
      </c>
      <c r="G5" s="69">
        <v>0.50123128333251243</v>
      </c>
      <c r="H5" s="69">
        <v>-0.43450339077477551</v>
      </c>
      <c r="I5" s="80">
        <v>-0.48072549693704936</v>
      </c>
      <c r="K5" s="77">
        <v>-1.6000000000000014</v>
      </c>
      <c r="L5" s="1">
        <v>-1.8000000000000009</v>
      </c>
      <c r="M5" s="1">
        <v>1.4666666666666668</v>
      </c>
      <c r="N5" s="78">
        <v>1.7333333333333314</v>
      </c>
    </row>
    <row r="6" spans="1:16" ht="15.75" thickBot="1" x14ac:dyDescent="0.3">
      <c r="A6" t="str">
        <f ca="1">_xlfn.FORMULATEXT(A2)</f>
        <v>=EVD!A20</v>
      </c>
      <c r="F6" s="118">
        <v>8.4148141067871158</v>
      </c>
      <c r="G6" s="50">
        <v>0</v>
      </c>
      <c r="H6" s="50">
        <v>0</v>
      </c>
      <c r="I6" s="49">
        <v>0</v>
      </c>
      <c r="J6" s="76" t="s">
        <v>108</v>
      </c>
      <c r="K6" s="79">
        <v>-2.5999999999999988</v>
      </c>
      <c r="L6" s="69">
        <v>-2.1999999999999975</v>
      </c>
      <c r="M6" s="69">
        <v>1.7333333333333312</v>
      </c>
      <c r="N6" s="80">
        <v>2.9666666666666597</v>
      </c>
    </row>
    <row r="7" spans="1:16" x14ac:dyDescent="0.25">
      <c r="F7" s="48">
        <v>0</v>
      </c>
      <c r="G7" s="101">
        <v>0.67959958156260658</v>
      </c>
      <c r="H7">
        <v>0</v>
      </c>
      <c r="I7" s="47">
        <v>0</v>
      </c>
      <c r="K7" t="str">
        <f ca="1">_xlfn.FORMULATEXT(K3)</f>
        <v>=MMULT(F2:I5,MMULT(F6:I9,TRANSPOSE(F2:I5)))</v>
      </c>
    </row>
    <row r="8" spans="1:16" x14ac:dyDescent="0.25">
      <c r="F8" s="48">
        <v>0</v>
      </c>
      <c r="G8">
        <v>0</v>
      </c>
      <c r="H8" s="101">
        <v>8.5424379898126374E-2</v>
      </c>
      <c r="I8" s="47">
        <v>0</v>
      </c>
    </row>
    <row r="9" spans="1:16" ht="15.75" thickBot="1" x14ac:dyDescent="0.3">
      <c r="F9" s="53">
        <v>0</v>
      </c>
      <c r="G9" s="56">
        <v>0</v>
      </c>
      <c r="H9" s="56">
        <v>0</v>
      </c>
      <c r="I9" s="102">
        <v>5.3495265085481504E-2</v>
      </c>
    </row>
    <row r="10" spans="1:16" x14ac:dyDescent="0.25">
      <c r="F10" t="str">
        <f ca="1">_xlfn.FORMULATEXT(F2)</f>
        <v>=SPECTRAL(A2:D5,100)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2E425-C5C6-4C93-B26B-13D6ACEEDDA2}">
  <dimension ref="A1:O26"/>
  <sheetViews>
    <sheetView workbookViewId="0">
      <selection activeCell="P27" sqref="P27"/>
    </sheetView>
  </sheetViews>
  <sheetFormatPr defaultRowHeight="15" x14ac:dyDescent="0.25"/>
  <cols>
    <col min="2" max="5" width="6.85546875" customWidth="1"/>
    <col min="6" max="6" width="3.140625" customWidth="1"/>
    <col min="7" max="12" width="7.28515625" customWidth="1"/>
  </cols>
  <sheetData>
    <row r="1" spans="1:15" ht="15.75" thickBot="1" x14ac:dyDescent="0.3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G1" s="46" t="s">
        <v>168</v>
      </c>
      <c r="H1" s="45"/>
      <c r="I1" s="45"/>
      <c r="J1" s="45"/>
      <c r="K1" s="45"/>
      <c r="L1" s="44"/>
    </row>
    <row r="2" spans="1:15" x14ac:dyDescent="0.25">
      <c r="A2" s="48" t="s">
        <v>89</v>
      </c>
      <c r="B2">
        <v>5</v>
      </c>
      <c r="C2">
        <v>4</v>
      </c>
      <c r="D2">
        <v>2</v>
      </c>
      <c r="E2" s="47">
        <v>1</v>
      </c>
      <c r="G2" s="77" cm="1">
        <f t="array" ref="G2:L7">[1]!SVD_U(B2:E7)</f>
        <v>0.38332759198836297</v>
      </c>
      <c r="H2" s="1">
        <v>0.51039982346887869</v>
      </c>
      <c r="I2" s="1">
        <v>0.33781142809585862</v>
      </c>
      <c r="J2" s="1">
        <v>0.4950490692132663</v>
      </c>
      <c r="K2" s="1">
        <v>0.10101525445521942</v>
      </c>
      <c r="L2" s="78">
        <v>0.47239575983449134</v>
      </c>
    </row>
    <row r="3" spans="1:15" x14ac:dyDescent="0.25">
      <c r="A3" s="48" t="s">
        <v>92</v>
      </c>
      <c r="B3">
        <v>4</v>
      </c>
      <c r="C3">
        <v>5</v>
      </c>
      <c r="D3">
        <v>2</v>
      </c>
      <c r="E3" s="47">
        <v>2</v>
      </c>
      <c r="G3" s="77">
        <v>0.41661019564017088</v>
      </c>
      <c r="H3" s="1">
        <v>0.42016210511302388</v>
      </c>
      <c r="I3" s="1">
        <v>-0.46843976395860476</v>
      </c>
      <c r="J3" s="1">
        <v>-0.23922272474632097</v>
      </c>
      <c r="K3" s="1">
        <v>-0.60609152673132616</v>
      </c>
      <c r="L3" s="78">
        <v>-7.6742993474920307E-2</v>
      </c>
      <c r="N3" s="171" t="s">
        <v>184</v>
      </c>
    </row>
    <row r="4" spans="1:15" x14ac:dyDescent="0.25">
      <c r="A4" s="48" t="s">
        <v>94</v>
      </c>
      <c r="B4">
        <v>1</v>
      </c>
      <c r="C4">
        <v>2</v>
      </c>
      <c r="D4">
        <v>4</v>
      </c>
      <c r="E4" s="47">
        <v>5</v>
      </c>
      <c r="G4" s="77">
        <v>0.39836512304844768</v>
      </c>
      <c r="H4" s="1">
        <v>-0.43710905407876804</v>
      </c>
      <c r="I4" s="1">
        <v>-0.43404203046323248</v>
      </c>
      <c r="J4" s="1">
        <v>-0.17838537572861629</v>
      </c>
      <c r="K4" s="1">
        <v>0.30304576336566202</v>
      </c>
      <c r="L4" s="78">
        <v>0.58154135055436607</v>
      </c>
    </row>
    <row r="5" spans="1:15" x14ac:dyDescent="0.25">
      <c r="A5" s="48" t="s">
        <v>95</v>
      </c>
      <c r="B5">
        <v>2</v>
      </c>
      <c r="C5">
        <v>1</v>
      </c>
      <c r="D5">
        <v>5</v>
      </c>
      <c r="E5" s="47">
        <v>4</v>
      </c>
      <c r="G5" s="77">
        <v>0.39982602674822448</v>
      </c>
      <c r="H5" s="1">
        <v>-0.4061679034121245</v>
      </c>
      <c r="I5" s="1">
        <v>0.65493007394058034</v>
      </c>
      <c r="J5" s="1">
        <v>-0.28621346297832384</v>
      </c>
      <c r="K5" s="1">
        <v>-0.40406101782088361</v>
      </c>
      <c r="L5" s="78">
        <v>3.2402597244960779E-2</v>
      </c>
      <c r="N5" s="171" t="s">
        <v>198</v>
      </c>
    </row>
    <row r="6" spans="1:15" x14ac:dyDescent="0.25">
      <c r="A6" s="48" t="s">
        <v>96</v>
      </c>
      <c r="B6">
        <v>4</v>
      </c>
      <c r="C6">
        <v>4</v>
      </c>
      <c r="D6">
        <v>3</v>
      </c>
      <c r="E6" s="47">
        <v>2</v>
      </c>
      <c r="G6" s="77">
        <v>0.42009038661670289</v>
      </c>
      <c r="H6" s="1">
        <v>0.28287139263284522</v>
      </c>
      <c r="I6" s="1">
        <v>0.12889939588408714</v>
      </c>
      <c r="J6" s="1">
        <v>-0.42334719040311369</v>
      </c>
      <c r="K6" s="1">
        <v>0.60609152673132805</v>
      </c>
      <c r="L6" s="78">
        <v>-0.4246445638945413</v>
      </c>
    </row>
    <row r="7" spans="1:15" ht="15.75" thickBot="1" x14ac:dyDescent="0.3">
      <c r="A7" s="48" t="s">
        <v>97</v>
      </c>
      <c r="B7">
        <v>2</v>
      </c>
      <c r="C7">
        <v>2</v>
      </c>
      <c r="D7">
        <v>4</v>
      </c>
      <c r="E7" s="47">
        <v>5</v>
      </c>
      <c r="G7" s="79">
        <v>0.42949312713315219</v>
      </c>
      <c r="H7" s="69">
        <v>-0.35623434694039263</v>
      </c>
      <c r="I7" s="69">
        <v>-0.1802961074746231</v>
      </c>
      <c r="J7" s="69">
        <v>0.63618910297955433</v>
      </c>
      <c r="K7" s="69">
        <v>0</v>
      </c>
      <c r="L7" s="80">
        <v>-0.50138755736944773</v>
      </c>
    </row>
    <row r="8" spans="1:15" ht="15.75" thickBot="1" x14ac:dyDescent="0.3">
      <c r="A8" s="46" t="s">
        <v>98</v>
      </c>
      <c r="B8" s="86">
        <f>AVERAGE(B2:B7)</f>
        <v>3</v>
      </c>
      <c r="C8" s="86">
        <f t="shared" ref="C8:E8" si="0">AVERAGE(C2:C7)</f>
        <v>3</v>
      </c>
      <c r="D8" s="86">
        <f t="shared" si="0"/>
        <v>3.3333333333333335</v>
      </c>
      <c r="E8" s="87">
        <f t="shared" si="0"/>
        <v>3.1666666666666665</v>
      </c>
      <c r="G8" s="81" t="str">
        <f ca="1">_xlfn.FORMULATEXT(G2)</f>
        <v>=SVD_U(B2:E7)</v>
      </c>
      <c r="H8" s="45"/>
      <c r="I8" s="45"/>
      <c r="J8" s="45"/>
      <c r="K8" s="45"/>
      <c r="L8" s="44"/>
    </row>
    <row r="9" spans="1:15" ht="15.75" thickBot="1" x14ac:dyDescent="0.3">
      <c r="A9" s="53"/>
      <c r="B9" s="69" t="str">
        <f ca="1">_xlfn.FORMULATEXT(B8)</f>
        <v>=AVERAGE(B2:B7)</v>
      </c>
      <c r="C9" s="56"/>
      <c r="D9" s="56"/>
      <c r="E9" s="52"/>
    </row>
    <row r="10" spans="1:15" ht="15.75" thickBot="1" x14ac:dyDescent="0.3">
      <c r="G10" s="46" t="s">
        <v>169</v>
      </c>
      <c r="H10" s="45"/>
      <c r="I10" s="45"/>
      <c r="J10" s="44"/>
      <c r="L10" s="85" t="s">
        <v>190</v>
      </c>
      <c r="M10" s="45"/>
      <c r="N10" s="45"/>
      <c r="O10" s="44"/>
    </row>
    <row r="11" spans="1:15" ht="15.75" thickBot="1" x14ac:dyDescent="0.3">
      <c r="B11" t="s">
        <v>180</v>
      </c>
      <c r="G11" s="82" cm="1">
        <f t="array" ref="G11:J14">[1]!SVD_V(B2:E7)</f>
        <v>0.47735814857523617</v>
      </c>
      <c r="H11" s="83">
        <v>0.52455076971951065</v>
      </c>
      <c r="I11" s="83">
        <v>0.46335720443857714</v>
      </c>
      <c r="J11" s="84">
        <v>0.53129632886964107</v>
      </c>
      <c r="L11" s="82" cm="1">
        <f t="array" ref="L11:O16">[1]!SVD_D(B2:E7)</f>
        <v>15.335327869922679</v>
      </c>
      <c r="M11" s="50">
        <v>0</v>
      </c>
      <c r="N11" s="50">
        <v>0</v>
      </c>
      <c r="O11" s="49">
        <v>0</v>
      </c>
    </row>
    <row r="12" spans="1:15" ht="17.25" thickBot="1" x14ac:dyDescent="0.3">
      <c r="B12" s="46" t="s">
        <v>189</v>
      </c>
      <c r="C12" s="45"/>
      <c r="D12" s="45"/>
      <c r="E12" s="44"/>
      <c r="G12" s="77">
        <v>0.47943320691255703</v>
      </c>
      <c r="H12" s="1">
        <v>0.50586753425539244</v>
      </c>
      <c r="I12" s="1">
        <v>-0.57451418295467205</v>
      </c>
      <c r="J12" s="78">
        <v>-0.42915648833477571</v>
      </c>
      <c r="L12" s="48">
        <v>0</v>
      </c>
      <c r="M12" s="1">
        <v>6.4859680891581037</v>
      </c>
      <c r="N12">
        <v>0</v>
      </c>
      <c r="O12" s="47">
        <v>0</v>
      </c>
    </row>
    <row r="13" spans="1:15" x14ac:dyDescent="0.25">
      <c r="B13" s="51" cm="1">
        <f t="array" ref="B13:E18">MMULT(G2:L7,MMULT(L11:O16,TRANSPOSE(G11:J14)))</f>
        <v>4.9999999999999991</v>
      </c>
      <c r="C13" s="50">
        <v>4.0000000000000009</v>
      </c>
      <c r="D13" s="50">
        <v>2.0000000000000009</v>
      </c>
      <c r="E13" s="49">
        <v>1</v>
      </c>
      <c r="G13" s="77">
        <v>0.53280307658762149</v>
      </c>
      <c r="H13" s="1">
        <v>-0.3845956458288271</v>
      </c>
      <c r="I13" s="1">
        <v>0.51626749324519272</v>
      </c>
      <c r="J13" s="78">
        <v>-0.54924943896793954</v>
      </c>
      <c r="L13" s="48">
        <v>0</v>
      </c>
      <c r="M13">
        <v>0</v>
      </c>
      <c r="N13" s="1">
        <v>1.826067583593743</v>
      </c>
      <c r="O13" s="47">
        <v>0</v>
      </c>
    </row>
    <row r="14" spans="1:15" ht="15.75" thickBot="1" x14ac:dyDescent="0.3">
      <c r="B14" s="48">
        <v>4.0000000000000009</v>
      </c>
      <c r="C14">
        <v>4.9999999999999973</v>
      </c>
      <c r="D14">
        <v>2.0000000000000004</v>
      </c>
      <c r="E14" s="47">
        <v>2.0000000000000013</v>
      </c>
      <c r="G14" s="79">
        <v>0.50832458102784017</v>
      </c>
      <c r="H14" s="69">
        <v>-0.56659572623039201</v>
      </c>
      <c r="I14" s="69">
        <v>-0.4343977786512257</v>
      </c>
      <c r="J14" s="80">
        <v>0.48153294097414201</v>
      </c>
      <c r="L14" s="48">
        <v>0</v>
      </c>
      <c r="M14">
        <v>0</v>
      </c>
      <c r="N14">
        <v>0</v>
      </c>
      <c r="O14" s="78">
        <v>0.65223787726841664</v>
      </c>
    </row>
    <row r="15" spans="1:15" ht="15.75" thickBot="1" x14ac:dyDescent="0.3">
      <c r="B15" s="48">
        <v>1.0000000000000004</v>
      </c>
      <c r="C15">
        <v>2.0000000000000009</v>
      </c>
      <c r="D15">
        <v>4.0000000000000009</v>
      </c>
      <c r="E15" s="47">
        <v>4.9999999999999982</v>
      </c>
      <c r="G15" s="46" t="str">
        <f ca="1">_xlfn.FORMULATEXT(G11)</f>
        <v>=SVD_V(B2:E7)</v>
      </c>
      <c r="H15" s="45"/>
      <c r="I15" s="45"/>
      <c r="J15" s="44"/>
      <c r="L15" s="48">
        <v>0</v>
      </c>
      <c r="M15">
        <v>0</v>
      </c>
      <c r="N15">
        <v>0</v>
      </c>
      <c r="O15" s="47">
        <v>0</v>
      </c>
    </row>
    <row r="16" spans="1:15" ht="15.75" thickBot="1" x14ac:dyDescent="0.3">
      <c r="B16" s="48">
        <v>2.0000000000000013</v>
      </c>
      <c r="C16">
        <v>0.99999999999999967</v>
      </c>
      <c r="D16">
        <v>4.9999999999999991</v>
      </c>
      <c r="E16" s="47">
        <v>3.9999999999999991</v>
      </c>
      <c r="L16" s="53">
        <v>0</v>
      </c>
      <c r="M16" s="56">
        <v>0</v>
      </c>
      <c r="N16" s="56">
        <v>0</v>
      </c>
      <c r="O16" s="52">
        <v>0</v>
      </c>
    </row>
    <row r="17" spans="2:15" ht="15.75" thickBot="1" x14ac:dyDescent="0.3">
      <c r="B17" s="48">
        <v>3.9999999999999987</v>
      </c>
      <c r="C17">
        <v>4.0000000000000018</v>
      </c>
      <c r="D17">
        <v>3.0000000000000009</v>
      </c>
      <c r="E17" s="47">
        <v>1.9999999999999996</v>
      </c>
      <c r="L17" s="46" t="str">
        <f ca="1">_xlfn.FORMULATEXT(L11)</f>
        <v>=SVD_D(B2:E7)</v>
      </c>
      <c r="M17" s="45"/>
      <c r="N17" s="45"/>
      <c r="O17" s="44"/>
    </row>
    <row r="18" spans="2:15" ht="15.75" thickBot="1" x14ac:dyDescent="0.3">
      <c r="B18" s="53">
        <v>1.9999999999999993</v>
      </c>
      <c r="C18" s="56">
        <v>2.0000000000000009</v>
      </c>
      <c r="D18" s="56">
        <v>3.9999999999999996</v>
      </c>
      <c r="E18" s="52">
        <v>5</v>
      </c>
    </row>
    <row r="19" spans="2:15" x14ac:dyDescent="0.25">
      <c r="B19" t="str">
        <f ca="1">_xlfn.FORMULATEXT(B13)</f>
        <v>=MMULT(G2:L7,MMULT(L11:O16,TRANSPOSE(G11:J14)))</v>
      </c>
    </row>
    <row r="26" spans="2:15" x14ac:dyDescent="0.25">
      <c r="G26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B71B1-0273-4175-A10E-C7FE3540A9C4}">
  <dimension ref="A1:Y20"/>
  <sheetViews>
    <sheetView topLeftCell="L1" zoomScale="92" zoomScaleNormal="92" workbookViewId="0">
      <selection activeCell="AD32" sqref="AD32"/>
    </sheetView>
  </sheetViews>
  <sheetFormatPr defaultRowHeight="15" x14ac:dyDescent="0.25"/>
  <cols>
    <col min="6" max="6" width="2.7109375" customWidth="1"/>
    <col min="11" max="11" width="22.140625" customWidth="1"/>
    <col min="18" max="18" width="12" customWidth="1"/>
  </cols>
  <sheetData>
    <row r="1" spans="1:25" ht="18.75" thickBot="1" x14ac:dyDescent="0.4">
      <c r="A1" s="46" t="s">
        <v>82</v>
      </c>
      <c r="B1" s="45" t="s">
        <v>83</v>
      </c>
      <c r="C1" s="45" t="s">
        <v>84</v>
      </c>
      <c r="D1" s="45" t="s">
        <v>85</v>
      </c>
      <c r="E1" s="44" t="s">
        <v>86</v>
      </c>
      <c r="G1" s="46" t="s">
        <v>154</v>
      </c>
      <c r="H1" s="45"/>
      <c r="I1" s="45"/>
      <c r="J1" s="44"/>
      <c r="L1" s="85" t="s">
        <v>157</v>
      </c>
      <c r="M1" s="45"/>
      <c r="N1" s="45"/>
      <c r="O1" s="44"/>
      <c r="P1" s="111" t="s">
        <v>166</v>
      </c>
      <c r="T1" s="100" t="s">
        <v>164</v>
      </c>
      <c r="U1" s="50"/>
      <c r="V1" s="50"/>
      <c r="W1" s="49"/>
      <c r="X1" s="109" t="s">
        <v>165</v>
      </c>
    </row>
    <row r="2" spans="1:25" x14ac:dyDescent="0.25">
      <c r="A2" s="48" t="s">
        <v>89</v>
      </c>
      <c r="B2">
        <v>5</v>
      </c>
      <c r="C2">
        <v>4</v>
      </c>
      <c r="D2">
        <v>2</v>
      </c>
      <c r="E2" s="47">
        <v>1</v>
      </c>
      <c r="G2" s="82" cm="1">
        <f t="array" ref="G2:J5">1/(COUNT(B12:B17)-1)*MMULT(TRANSPOSE(B12:E17),B12:E17)</f>
        <v>2.4000000000000004</v>
      </c>
      <c r="H2" s="83">
        <v>2</v>
      </c>
      <c r="I2" s="83">
        <v>-1.6</v>
      </c>
      <c r="J2" s="84">
        <v>-2.6000000000000005</v>
      </c>
      <c r="L2" s="98" cm="1">
        <f t="array" ref="L2:O5">[1]!SVD_D(G2:J5)</f>
        <v>8.4148141067871194</v>
      </c>
      <c r="M2" s="50">
        <v>0</v>
      </c>
      <c r="N2" s="50">
        <v>0</v>
      </c>
      <c r="O2" s="49">
        <v>0</v>
      </c>
      <c r="P2" s="115">
        <f>L2*(COUNT(B2:B7)-1)</f>
        <v>42.074070533935597</v>
      </c>
      <c r="Q2" s="1" t="str">
        <f ca="1">_xlfn.FORMULATEXT(P2)</f>
        <v>=L2*(COUNT(B2:B7)-1)</v>
      </c>
      <c r="T2" s="151" cm="1">
        <f t="array" ref="T2:W7">[1]!SVD_D(B12:E17)</f>
        <v>6.4864528468135498</v>
      </c>
      <c r="U2" s="50">
        <v>0</v>
      </c>
      <c r="V2" s="50">
        <v>0</v>
      </c>
      <c r="W2" s="49">
        <v>0</v>
      </c>
      <c r="X2" s="115">
        <f>T2^2</f>
        <v>42.074070533935604</v>
      </c>
      <c r="Y2" t="str">
        <f ca="1">_xlfn.FORMULATEXT(X2)</f>
        <v>=T2^2</v>
      </c>
    </row>
    <row r="3" spans="1:25" x14ac:dyDescent="0.25">
      <c r="A3" s="48" t="s">
        <v>92</v>
      </c>
      <c r="B3">
        <v>4</v>
      </c>
      <c r="C3">
        <v>5</v>
      </c>
      <c r="D3">
        <v>2</v>
      </c>
      <c r="E3" s="47">
        <v>2</v>
      </c>
      <c r="G3" s="77">
        <v>2</v>
      </c>
      <c r="H3" s="1">
        <v>2.4000000000000004</v>
      </c>
      <c r="I3" s="1">
        <v>-1.7999999999999998</v>
      </c>
      <c r="J3" s="78">
        <v>-2.2000000000000002</v>
      </c>
      <c r="L3" s="48">
        <v>0</v>
      </c>
      <c r="M3" s="97">
        <v>0.67959958156260691</v>
      </c>
      <c r="N3">
        <v>0</v>
      </c>
      <c r="O3" s="47">
        <v>0</v>
      </c>
      <c r="P3" s="116">
        <f>M3*(COUNT(B3:B8)-1)</f>
        <v>3.3979979078130347</v>
      </c>
      <c r="Q3" s="1" t="str">
        <f t="shared" ref="Q3:Q5" ca="1" si="0">_xlfn.FORMULATEXT(P3)</f>
        <v>=M3*(COUNT(B3:B8)-1)</v>
      </c>
      <c r="T3" s="48">
        <v>0</v>
      </c>
      <c r="U3" s="152">
        <v>1.8433659180458521</v>
      </c>
      <c r="V3">
        <v>0</v>
      </c>
      <c r="W3" s="47">
        <v>0</v>
      </c>
      <c r="X3" s="116">
        <f>U3^2</f>
        <v>3.3979979078130271</v>
      </c>
      <c r="Y3" t="str">
        <f t="shared" ref="Y3:Y5" ca="1" si="1">_xlfn.FORMULATEXT(X3)</f>
        <v>=U3^2</v>
      </c>
    </row>
    <row r="4" spans="1:25" x14ac:dyDescent="0.25">
      <c r="A4" s="48" t="s">
        <v>94</v>
      </c>
      <c r="B4">
        <v>1</v>
      </c>
      <c r="C4">
        <v>2</v>
      </c>
      <c r="D4">
        <v>4</v>
      </c>
      <c r="E4" s="47">
        <v>5</v>
      </c>
      <c r="G4" s="77">
        <v>-1.6</v>
      </c>
      <c r="H4" s="1">
        <v>-1.7999999999999998</v>
      </c>
      <c r="I4" s="1">
        <v>1.466666666666667</v>
      </c>
      <c r="J4" s="78">
        <v>1.7333333333333336</v>
      </c>
      <c r="L4" s="48">
        <v>0</v>
      </c>
      <c r="M4">
        <v>0</v>
      </c>
      <c r="N4" s="97">
        <v>8.5424379898105515E-2</v>
      </c>
      <c r="O4" s="47">
        <v>0</v>
      </c>
      <c r="P4" s="116">
        <f ca="1">N4*(COUNT(B4:B9)-1)</f>
        <v>0.34169751959242206</v>
      </c>
      <c r="Q4" s="1" t="str">
        <f t="shared" ca="1" si="0"/>
        <v>=N4*(COUNT(B4:B9)-1)</v>
      </c>
      <c r="T4" s="48">
        <v>0</v>
      </c>
      <c r="U4">
        <v>0</v>
      </c>
      <c r="V4" s="152">
        <v>0.65354563688439671</v>
      </c>
      <c r="W4" s="47">
        <v>0</v>
      </c>
      <c r="X4" s="116">
        <f>V4^2</f>
        <v>0.42712189949063173</v>
      </c>
      <c r="Y4" t="str">
        <f t="shared" ca="1" si="1"/>
        <v>=V4^2</v>
      </c>
    </row>
    <row r="5" spans="1:25" ht="15.75" thickBot="1" x14ac:dyDescent="0.3">
      <c r="A5" s="48" t="s">
        <v>95</v>
      </c>
      <c r="B5">
        <v>2</v>
      </c>
      <c r="C5">
        <v>1</v>
      </c>
      <c r="D5">
        <v>5</v>
      </c>
      <c r="E5" s="47">
        <v>4</v>
      </c>
      <c r="G5" s="77">
        <v>-2.6000000000000005</v>
      </c>
      <c r="H5" s="1">
        <v>-2.2000000000000002</v>
      </c>
      <c r="I5" s="1">
        <v>1.7333333333333336</v>
      </c>
      <c r="J5" s="78">
        <v>2.9666666666666668</v>
      </c>
      <c r="L5" s="53">
        <v>0</v>
      </c>
      <c r="M5" s="56">
        <v>0</v>
      </c>
      <c r="N5" s="56">
        <v>0</v>
      </c>
      <c r="O5" s="99">
        <v>5.3495265085456427E-2</v>
      </c>
      <c r="P5" s="117">
        <f ca="1">O5*(COUNT(B5:B10)-1)</f>
        <v>0.16048579525636927</v>
      </c>
      <c r="Q5" s="1" t="str">
        <f t="shared" ca="1" si="0"/>
        <v>=O5*(COUNT(B5:B10)-1)</v>
      </c>
      <c r="T5" s="48">
        <v>0</v>
      </c>
      <c r="U5">
        <v>0</v>
      </c>
      <c r="V5">
        <v>0</v>
      </c>
      <c r="W5" s="153">
        <v>0.51718113405982979</v>
      </c>
      <c r="X5" s="117">
        <f>W5^2</f>
        <v>0.26747632542741162</v>
      </c>
      <c r="Y5" t="str">
        <f t="shared" ca="1" si="1"/>
        <v>=W5^2</v>
      </c>
    </row>
    <row r="6" spans="1:25" ht="15.75" thickBot="1" x14ac:dyDescent="0.3">
      <c r="A6" s="48" t="s">
        <v>96</v>
      </c>
      <c r="B6">
        <v>4</v>
      </c>
      <c r="C6">
        <v>4</v>
      </c>
      <c r="D6">
        <v>3</v>
      </c>
      <c r="E6" s="47">
        <v>2</v>
      </c>
      <c r="G6" s="46" t="str">
        <f ca="1">_xlfn.FORMULATEXT(G2)</f>
        <v>=1/(COUNT(B12:B17)-1)*MMULT(TRANSPOSE(B12:E17),B12:E17)</v>
      </c>
      <c r="H6" s="45"/>
      <c r="I6" s="45"/>
      <c r="J6" s="45"/>
      <c r="L6" s="46" t="str">
        <f ca="1">_xlfn.FORMULATEXT(L2)</f>
        <v>=SVD_D(G2:J5)</v>
      </c>
      <c r="M6" s="45"/>
      <c r="N6" s="45"/>
      <c r="O6" s="44"/>
      <c r="T6" s="48">
        <v>0</v>
      </c>
      <c r="U6">
        <v>0</v>
      </c>
      <c r="V6">
        <v>0</v>
      </c>
      <c r="W6" s="47">
        <v>0</v>
      </c>
    </row>
    <row r="7" spans="1:25" ht="15.75" thickBot="1" x14ac:dyDescent="0.3">
      <c r="A7" s="48" t="s">
        <v>97</v>
      </c>
      <c r="B7">
        <v>2</v>
      </c>
      <c r="C7">
        <v>2</v>
      </c>
      <c r="D7">
        <v>4</v>
      </c>
      <c r="E7" s="47">
        <v>5</v>
      </c>
      <c r="T7" s="53">
        <v>0</v>
      </c>
      <c r="U7" s="56">
        <v>0</v>
      </c>
      <c r="V7" s="56">
        <v>0</v>
      </c>
      <c r="W7" s="52">
        <v>0</v>
      </c>
    </row>
    <row r="8" spans="1:25" ht="15.75" thickBot="1" x14ac:dyDescent="0.3">
      <c r="A8" s="46" t="s">
        <v>98</v>
      </c>
      <c r="B8" s="86">
        <f>AVERAGE(B2:B7)</f>
        <v>3</v>
      </c>
      <c r="C8" s="86">
        <f t="shared" ref="C8:E8" si="2">AVERAGE(C2:C7)</f>
        <v>3</v>
      </c>
      <c r="D8" s="86">
        <f t="shared" si="2"/>
        <v>3.3333333333333335</v>
      </c>
      <c r="E8" s="87">
        <f t="shared" si="2"/>
        <v>3.1666666666666665</v>
      </c>
      <c r="F8" s="1"/>
      <c r="G8" s="1"/>
      <c r="H8" s="1"/>
      <c r="I8" s="1"/>
      <c r="J8" s="1"/>
      <c r="K8" s="1"/>
      <c r="L8" s="46" t="s">
        <v>156</v>
      </c>
      <c r="M8" s="45"/>
      <c r="N8" s="45"/>
      <c r="O8" s="44"/>
      <c r="T8" t="str">
        <f ca="1">_xlfn.FORMULATEXT(T2)</f>
        <v>=SVD_D(B12:E17)</v>
      </c>
    </row>
    <row r="9" spans="1:25" ht="15.75" thickBot="1" x14ac:dyDescent="0.3">
      <c r="A9" s="53"/>
      <c r="B9" s="69" t="str">
        <f ca="1">_xlfn.FORMULATEXT(B8)</f>
        <v>=AVERAGE(B2:B7)</v>
      </c>
      <c r="C9" s="56"/>
      <c r="D9" s="56"/>
      <c r="E9" s="52"/>
      <c r="L9" s="82" cm="1">
        <f t="array" ref="L9:O12">[1]!SVD_U(G2:J5)</f>
        <v>0.51810244509785996</v>
      </c>
      <c r="M9" s="83">
        <v>0.38947147186111186</v>
      </c>
      <c r="N9" s="83">
        <v>0.47163134874516932</v>
      </c>
      <c r="O9" s="84">
        <v>0.59786762738168453</v>
      </c>
      <c r="X9" s="76" t="s">
        <v>108</v>
      </c>
    </row>
    <row r="10" spans="1:25" ht="15.75" thickBot="1" x14ac:dyDescent="0.3">
      <c r="G10" t="s">
        <v>180</v>
      </c>
      <c r="L10" s="77">
        <v>0.49925617556474222</v>
      </c>
      <c r="M10" s="1">
        <v>-0.6386947649203506</v>
      </c>
      <c r="N10" s="1">
        <v>-0.46763672711037713</v>
      </c>
      <c r="O10" s="78">
        <v>0.35231826504052793</v>
      </c>
      <c r="S10" s="2" t="s">
        <v>185</v>
      </c>
      <c r="X10" s="158">
        <f>X2/5</f>
        <v>8.4148141067871212</v>
      </c>
      <c r="Y10" t="str">
        <f ca="1">_xlfn.FORMULATEXT(X10)</f>
        <v>=X2/5</v>
      </c>
    </row>
    <row r="11" spans="1:25" ht="20.25" thickBot="1" x14ac:dyDescent="0.4">
      <c r="B11" s="46" t="s">
        <v>100</v>
      </c>
      <c r="C11" s="45"/>
      <c r="D11" s="45"/>
      <c r="E11" s="44"/>
      <c r="G11" s="51" t="s">
        <v>189</v>
      </c>
      <c r="H11" s="50"/>
      <c r="I11" s="50"/>
      <c r="J11" s="49"/>
      <c r="L11" s="77">
        <v>-0.39170923774579069</v>
      </c>
      <c r="M11" s="1">
        <v>0.43491168123944562</v>
      </c>
      <c r="N11" s="1">
        <v>-0.60834740547117794</v>
      </c>
      <c r="O11" s="78">
        <v>0.53603091034221306</v>
      </c>
      <c r="S11" s="112" t="s">
        <v>182</v>
      </c>
      <c r="U11" s="161"/>
      <c r="X11" s="159">
        <f t="shared" ref="X11:X13" si="3">X3/5</f>
        <v>0.67959958156260547</v>
      </c>
    </row>
    <row r="12" spans="1:25" ht="15.75" thickBot="1" x14ac:dyDescent="0.3">
      <c r="B12" s="82">
        <f t="shared" ref="B12:B17" si="4">(B2-B$8)</f>
        <v>2</v>
      </c>
      <c r="C12" s="83">
        <f t="shared" ref="C12:E16" si="5">C2-C$8</f>
        <v>1</v>
      </c>
      <c r="D12" s="83">
        <f t="shared" si="5"/>
        <v>-1.3333333333333335</v>
      </c>
      <c r="E12" s="84">
        <f t="shared" si="5"/>
        <v>-2.1666666666666665</v>
      </c>
      <c r="F12" s="1"/>
      <c r="G12" s="82" cm="1">
        <f t="array" ref="G12:J15">MMULT(L9:O12,MMULT(_xlfn.ANCHORARRAY(L2),TRANSPOSE(_xlfn.ANCHORARRAY(L16))))</f>
        <v>2.4000000000000177</v>
      </c>
      <c r="H12" s="83">
        <v>1.9999999999999944</v>
      </c>
      <c r="I12" s="83">
        <v>-1.6000000000000083</v>
      </c>
      <c r="J12" s="84">
        <v>-2.5999999999999868</v>
      </c>
      <c r="K12" s="1"/>
      <c r="L12" s="79">
        <v>-0.57347798615875223</v>
      </c>
      <c r="M12" s="69">
        <v>-0.50123128333251121</v>
      </c>
      <c r="N12" s="69">
        <v>0.434503390774794</v>
      </c>
      <c r="O12" s="80">
        <v>0.48072549693720823</v>
      </c>
      <c r="X12" s="159">
        <f t="shared" si="3"/>
        <v>8.5424379898126346E-2</v>
      </c>
    </row>
    <row r="13" spans="1:25" ht="15.75" thickBot="1" x14ac:dyDescent="0.3">
      <c r="B13" s="77">
        <f t="shared" si="4"/>
        <v>1</v>
      </c>
      <c r="C13" s="1">
        <f t="shared" si="5"/>
        <v>2</v>
      </c>
      <c r="D13" s="1">
        <f t="shared" si="5"/>
        <v>-1.3333333333333335</v>
      </c>
      <c r="E13" s="78">
        <f t="shared" si="5"/>
        <v>-1.1666666666666665</v>
      </c>
      <c r="F13" s="1"/>
      <c r="G13" s="77">
        <v>1.9999999999999982</v>
      </c>
      <c r="H13" s="1">
        <v>2.3999999999999924</v>
      </c>
      <c r="I13" s="1">
        <v>-1.8000000000000136</v>
      </c>
      <c r="J13" s="78">
        <v>-2.1999999999999984</v>
      </c>
      <c r="K13" s="1"/>
      <c r="L13" s="46" t="str">
        <f ca="1">_xlfn.FORMULATEXT(L9)</f>
        <v>=SVD_U(G2:J5)</v>
      </c>
      <c r="M13" s="45"/>
      <c r="N13" s="45"/>
      <c r="O13" s="44"/>
      <c r="X13" s="160">
        <f t="shared" si="3"/>
        <v>5.3495265085482323E-2</v>
      </c>
    </row>
    <row r="14" spans="1:25" ht="15.75" thickBot="1" x14ac:dyDescent="0.3">
      <c r="B14" s="77">
        <f t="shared" si="4"/>
        <v>-2</v>
      </c>
      <c r="C14" s="1">
        <f t="shared" si="5"/>
        <v>-1</v>
      </c>
      <c r="D14" s="1">
        <f t="shared" si="5"/>
        <v>0.66666666666666652</v>
      </c>
      <c r="E14" s="78">
        <f t="shared" si="5"/>
        <v>1.8333333333333335</v>
      </c>
      <c r="F14" s="1"/>
      <c r="G14" s="77">
        <v>-1.6000000000000005</v>
      </c>
      <c r="H14" s="1">
        <v>-1.8000000000000118</v>
      </c>
      <c r="I14" s="1">
        <v>1.4666666666666468</v>
      </c>
      <c r="J14" s="78">
        <v>1.7333333333333378</v>
      </c>
      <c r="K14" s="1"/>
    </row>
    <row r="15" spans="1:25" ht="15.75" thickBot="1" x14ac:dyDescent="0.3">
      <c r="B15" s="77">
        <f t="shared" si="4"/>
        <v>-1</v>
      </c>
      <c r="C15" s="1">
        <f t="shared" si="5"/>
        <v>-2</v>
      </c>
      <c r="D15" s="1">
        <f t="shared" si="5"/>
        <v>1.6666666666666665</v>
      </c>
      <c r="E15" s="78">
        <f t="shared" si="5"/>
        <v>0.83333333333333348</v>
      </c>
      <c r="F15" s="1"/>
      <c r="G15" s="79">
        <v>-2.5999999999999863</v>
      </c>
      <c r="H15" s="69">
        <v>-2.2000000000000046</v>
      </c>
      <c r="I15" s="69">
        <v>1.7333333333333285</v>
      </c>
      <c r="J15" s="80">
        <v>2.9666666666666779</v>
      </c>
      <c r="K15" s="1"/>
      <c r="L15" s="46" t="s">
        <v>155</v>
      </c>
      <c r="M15" s="45"/>
      <c r="N15" s="45"/>
      <c r="O15" s="44"/>
      <c r="T15" s="92" t="s">
        <v>181</v>
      </c>
      <c r="U15" s="45"/>
      <c r="V15" s="45"/>
      <c r="W15" s="44"/>
    </row>
    <row r="16" spans="1:25" ht="15.75" thickBot="1" x14ac:dyDescent="0.3">
      <c r="B16" s="77">
        <f t="shared" si="4"/>
        <v>1</v>
      </c>
      <c r="C16" s="1">
        <f t="shared" si="5"/>
        <v>1</v>
      </c>
      <c r="D16" s="1">
        <f t="shared" si="5"/>
        <v>-0.33333333333333348</v>
      </c>
      <c r="E16" s="78">
        <f t="shared" si="5"/>
        <v>-1.1666666666666665</v>
      </c>
      <c r="F16" s="1"/>
      <c r="G16" t="str">
        <f ca="1">_xlfn.FORMULATEXT(G12)</f>
        <v>=MMULT(L9:O12,MMULT(L2#,TRANSPOSE(L16#)))</v>
      </c>
      <c r="K16" s="1"/>
      <c r="L16" s="82" cm="1">
        <f t="array" ref="L16:O19">[1]!SVD_V(G2:J5)</f>
        <v>0.51810244509785974</v>
      </c>
      <c r="M16" s="83">
        <v>0.38947147186111114</v>
      </c>
      <c r="N16" s="83">
        <v>0.47163134874527424</v>
      </c>
      <c r="O16" s="84">
        <v>0.59786762738205979</v>
      </c>
      <c r="T16" s="155" cm="1">
        <f t="array" ref="T16:W17">[1]!eigVALSym(G2:J5)</f>
        <v>8.4148141067871158</v>
      </c>
      <c r="U16" s="156">
        <v>0.67959958156260658</v>
      </c>
      <c r="V16" s="156">
        <v>8.5424379898126374E-2</v>
      </c>
      <c r="W16" s="157">
        <v>5.3495265085481504E-2</v>
      </c>
    </row>
    <row r="17" spans="1:23" ht="15.75" thickBot="1" x14ac:dyDescent="0.3">
      <c r="B17" s="79">
        <f t="shared" si="4"/>
        <v>-1</v>
      </c>
      <c r="C17" s="69">
        <f>C7-C$8</f>
        <v>-1</v>
      </c>
      <c r="D17" s="69">
        <f>D7-D$8</f>
        <v>0.66666666666666652</v>
      </c>
      <c r="E17" s="80">
        <f>E7-E$8</f>
        <v>1.8333333333333335</v>
      </c>
      <c r="F17" s="1"/>
      <c r="K17" s="1"/>
      <c r="L17" s="77">
        <v>0.49925617556474222</v>
      </c>
      <c r="M17" s="1">
        <v>-0.6386947649203466</v>
      </c>
      <c r="N17" s="1">
        <v>-0.4676367271104887</v>
      </c>
      <c r="O17" s="78">
        <v>0.35231826504059377</v>
      </c>
      <c r="T17" s="73">
        <v>-1.9669986558131636E-12</v>
      </c>
      <c r="U17" s="73">
        <v>-4.6024369925868885E-16</v>
      </c>
      <c r="V17" s="73">
        <v>-5.072098858881694E-18</v>
      </c>
      <c r="W17" s="73">
        <v>1.0167183059207636E-16</v>
      </c>
    </row>
    <row r="18" spans="1:23" ht="15.75" thickBot="1" x14ac:dyDescent="0.3">
      <c r="A18" s="46" t="s">
        <v>98</v>
      </c>
      <c r="B18" s="69">
        <f>AVERAGE(B12:B17)</f>
        <v>0</v>
      </c>
      <c r="C18" s="69">
        <f>AVERAGE(C12:C17)</f>
        <v>0</v>
      </c>
      <c r="D18" s="69">
        <f t="shared" ref="D18:E18" si="6">AVERAGE(D12:D17)</f>
        <v>-1.4802973661668753E-16</v>
      </c>
      <c r="E18" s="80">
        <f t="shared" si="6"/>
        <v>0</v>
      </c>
      <c r="F18" s="1"/>
      <c r="K18" s="1"/>
      <c r="L18" s="77">
        <v>-0.39170923774579069</v>
      </c>
      <c r="M18" s="1">
        <v>0.43491168123944884</v>
      </c>
      <c r="N18" s="1">
        <v>-0.60834740547133759</v>
      </c>
      <c r="O18" s="78">
        <v>0.53603091034232819</v>
      </c>
      <c r="T18" t="str">
        <f ca="1">_xlfn.FORMULATEXT(T16)</f>
        <v>=eigVALSym(G2:J5)</v>
      </c>
    </row>
    <row r="19" spans="1:23" ht="15.75" thickBot="1" x14ac:dyDescent="0.3">
      <c r="B19" s="81" t="str">
        <f ca="1">_xlfn.FORMULATEXT(B18)</f>
        <v>=AVERAGE(B12:B17)</v>
      </c>
      <c r="C19" s="45"/>
      <c r="D19" s="45"/>
      <c r="E19" s="44"/>
      <c r="L19" s="79">
        <v>-0.57347798615875234</v>
      </c>
      <c r="M19" s="69">
        <v>-0.50123128333251199</v>
      </c>
      <c r="N19" s="69">
        <v>0.43450339077489247</v>
      </c>
      <c r="O19" s="80">
        <v>0.48072549693756028</v>
      </c>
    </row>
    <row r="20" spans="1:23" ht="15.75" thickBot="1" x14ac:dyDescent="0.3">
      <c r="A20" s="42" t="s">
        <v>151</v>
      </c>
      <c r="B20" t="str">
        <f ca="1">_xlfn.FORMULATEXT(B12)</f>
        <v>=(B2-B$8)</v>
      </c>
      <c r="L20" s="46" t="str">
        <f ca="1">_xlfn.FORMULATEXT(L16)</f>
        <v>=SVD_V(G2:J5)</v>
      </c>
      <c r="M20" s="45"/>
      <c r="N20" s="45"/>
      <c r="O20" s="44"/>
      <c r="R20" s="2" t="s">
        <v>188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3D93F-77AD-44D1-9EB6-0690BA559AED}">
  <dimension ref="A1:AG49"/>
  <sheetViews>
    <sheetView zoomScaleNormal="100" workbookViewId="0">
      <selection activeCell="L51" sqref="L51"/>
    </sheetView>
  </sheetViews>
  <sheetFormatPr defaultRowHeight="15" x14ac:dyDescent="0.25"/>
  <cols>
    <col min="21" max="21" width="9.28515625" customWidth="1"/>
    <col min="24" max="25" width="10.28515625" bestFit="1" customWidth="1"/>
    <col min="26" max="26" width="9.28515625" bestFit="1" customWidth="1"/>
    <col min="27" max="27" width="8.85546875" customWidth="1"/>
    <col min="29" max="29" width="8.42578125" customWidth="1"/>
  </cols>
  <sheetData>
    <row r="1" spans="1:33" ht="18.75" thickBot="1" x14ac:dyDescent="0.4">
      <c r="B1" s="46" t="s">
        <v>100</v>
      </c>
      <c r="C1" s="45"/>
      <c r="D1" s="45"/>
      <c r="E1" s="44"/>
      <c r="J1" s="51" t="s">
        <v>224</v>
      </c>
      <c r="K1" s="50"/>
      <c r="L1" s="50"/>
      <c r="M1" s="49"/>
      <c r="Q1" s="51" t="s">
        <v>225</v>
      </c>
      <c r="R1" s="50"/>
      <c r="S1" s="50"/>
      <c r="T1" s="49"/>
      <c r="X1" s="46" t="s">
        <v>82</v>
      </c>
      <c r="Y1" s="45" t="s">
        <v>83</v>
      </c>
      <c r="Z1" s="45" t="s">
        <v>84</v>
      </c>
      <c r="AA1" s="45" t="s">
        <v>85</v>
      </c>
      <c r="AB1" s="44" t="s">
        <v>86</v>
      </c>
    </row>
    <row r="2" spans="1:33" x14ac:dyDescent="0.25">
      <c r="B2" s="199">
        <f t="shared" ref="B2:B7" si="0">(Y2-Y$8)</f>
        <v>2</v>
      </c>
      <c r="C2" s="200">
        <f t="shared" ref="C2:E7" si="1">Z2-Z$8</f>
        <v>1</v>
      </c>
      <c r="D2" s="200">
        <f t="shared" si="1"/>
        <v>-1.3333333333333335</v>
      </c>
      <c r="E2" s="201">
        <f t="shared" si="1"/>
        <v>-2.1666666666666665</v>
      </c>
      <c r="F2" s="1"/>
      <c r="G2" s="1"/>
      <c r="H2" s="1"/>
      <c r="J2" s="172">
        <f t="shared" ref="J2:M7" si="2">(Y2-Y$8)*(1/(COUNT($Y$2:$Y$7)-1))</f>
        <v>0.4</v>
      </c>
      <c r="K2" s="173">
        <f t="shared" si="2"/>
        <v>0.2</v>
      </c>
      <c r="L2" s="173">
        <f t="shared" si="2"/>
        <v>-0.26666666666666672</v>
      </c>
      <c r="M2" s="174">
        <f t="shared" si="2"/>
        <v>-0.43333333333333335</v>
      </c>
      <c r="N2" s="1"/>
      <c r="O2" s="1"/>
      <c r="P2" s="1"/>
      <c r="Q2" s="208">
        <f t="shared" ref="Q2:T7" si="3">(Y2-Y$8)*SQRT(1/(COUNT($Y$2:$Y$7)-1))</f>
        <v>0.89442719099991586</v>
      </c>
      <c r="R2" s="209">
        <f t="shared" si="3"/>
        <v>0.44721359549995793</v>
      </c>
      <c r="S2" s="209">
        <f t="shared" si="3"/>
        <v>-0.59628479399994394</v>
      </c>
      <c r="T2" s="210">
        <f t="shared" si="3"/>
        <v>-0.96896279024990872</v>
      </c>
      <c r="U2" s="1"/>
      <c r="V2" s="1"/>
      <c r="X2" s="48" t="s">
        <v>89</v>
      </c>
      <c r="Y2">
        <v>5</v>
      </c>
      <c r="Z2">
        <v>4</v>
      </c>
      <c r="AA2">
        <v>2</v>
      </c>
      <c r="AB2" s="47">
        <v>1</v>
      </c>
    </row>
    <row r="3" spans="1:33" x14ac:dyDescent="0.25">
      <c r="B3" s="202">
        <f t="shared" si="0"/>
        <v>1</v>
      </c>
      <c r="C3" s="203">
        <f t="shared" si="1"/>
        <v>2</v>
      </c>
      <c r="D3" s="203">
        <f t="shared" si="1"/>
        <v>-1.3333333333333335</v>
      </c>
      <c r="E3" s="204">
        <f t="shared" si="1"/>
        <v>-1.1666666666666665</v>
      </c>
      <c r="F3" s="1"/>
      <c r="G3" s="1"/>
      <c r="H3" s="1"/>
      <c r="J3" s="162">
        <f t="shared" si="2"/>
        <v>0.2</v>
      </c>
      <c r="K3" s="163">
        <f t="shared" si="2"/>
        <v>0.4</v>
      </c>
      <c r="L3" s="163">
        <f t="shared" si="2"/>
        <v>-0.26666666666666672</v>
      </c>
      <c r="M3" s="164">
        <f t="shared" si="2"/>
        <v>-0.23333333333333331</v>
      </c>
      <c r="N3" s="1"/>
      <c r="O3" s="1"/>
      <c r="P3" s="1"/>
      <c r="Q3" s="211">
        <f t="shared" si="3"/>
        <v>0.44721359549995793</v>
      </c>
      <c r="R3" s="212">
        <f t="shared" si="3"/>
        <v>0.89442719099991586</v>
      </c>
      <c r="S3" s="212">
        <f t="shared" si="3"/>
        <v>-0.59628479399994394</v>
      </c>
      <c r="T3" s="213">
        <f t="shared" si="3"/>
        <v>-0.52174919474995085</v>
      </c>
      <c r="U3" s="1"/>
      <c r="V3" s="1"/>
      <c r="X3" s="48" t="s">
        <v>92</v>
      </c>
      <c r="Y3">
        <v>4</v>
      </c>
      <c r="Z3">
        <v>5</v>
      </c>
      <c r="AA3">
        <v>2</v>
      </c>
      <c r="AB3" s="47">
        <v>2</v>
      </c>
    </row>
    <row r="4" spans="1:33" x14ac:dyDescent="0.25">
      <c r="B4" s="202">
        <f t="shared" si="0"/>
        <v>-2</v>
      </c>
      <c r="C4" s="203">
        <f t="shared" si="1"/>
        <v>-1</v>
      </c>
      <c r="D4" s="203">
        <f t="shared" si="1"/>
        <v>0.66666666666666652</v>
      </c>
      <c r="E4" s="204">
        <f t="shared" si="1"/>
        <v>1.8333333333333335</v>
      </c>
      <c r="F4" s="1"/>
      <c r="G4" s="1"/>
      <c r="H4" s="1"/>
      <c r="J4" s="162">
        <f t="shared" si="2"/>
        <v>-0.4</v>
      </c>
      <c r="K4" s="163">
        <f t="shared" si="2"/>
        <v>-0.2</v>
      </c>
      <c r="L4" s="163">
        <f t="shared" si="2"/>
        <v>0.1333333333333333</v>
      </c>
      <c r="M4" s="164">
        <f t="shared" si="2"/>
        <v>0.3666666666666667</v>
      </c>
      <c r="N4" s="1"/>
      <c r="O4" s="1"/>
      <c r="P4" s="1"/>
      <c r="Q4" s="214">
        <f t="shared" si="3"/>
        <v>-0.89442719099991586</v>
      </c>
      <c r="R4" s="215">
        <f t="shared" si="3"/>
        <v>-0.44721359549995793</v>
      </c>
      <c r="S4" s="215">
        <f t="shared" si="3"/>
        <v>0.29814239699997186</v>
      </c>
      <c r="T4" s="216">
        <f t="shared" si="3"/>
        <v>0.81989159174992299</v>
      </c>
      <c r="U4" s="183"/>
      <c r="V4" s="183"/>
      <c r="X4" s="48" t="s">
        <v>94</v>
      </c>
      <c r="Y4">
        <v>1</v>
      </c>
      <c r="Z4">
        <v>2</v>
      </c>
      <c r="AA4">
        <v>4</v>
      </c>
      <c r="AB4" s="47">
        <v>5</v>
      </c>
    </row>
    <row r="5" spans="1:33" x14ac:dyDescent="0.25">
      <c r="B5" s="202">
        <f t="shared" si="0"/>
        <v>-1</v>
      </c>
      <c r="C5" s="203">
        <f t="shared" si="1"/>
        <v>-2</v>
      </c>
      <c r="D5" s="203">
        <f t="shared" si="1"/>
        <v>1.6666666666666665</v>
      </c>
      <c r="E5" s="204">
        <f t="shared" si="1"/>
        <v>0.83333333333333348</v>
      </c>
      <c r="F5" s="1"/>
      <c r="G5" s="1"/>
      <c r="H5" s="1"/>
      <c r="J5" s="162">
        <f t="shared" si="2"/>
        <v>-0.2</v>
      </c>
      <c r="K5" s="163">
        <f t="shared" si="2"/>
        <v>-0.4</v>
      </c>
      <c r="L5" s="163">
        <f t="shared" si="2"/>
        <v>0.33333333333333331</v>
      </c>
      <c r="M5" s="164">
        <f t="shared" si="2"/>
        <v>0.16666666666666671</v>
      </c>
      <c r="N5" s="1"/>
      <c r="O5" s="1"/>
      <c r="P5" s="1"/>
      <c r="Q5" s="214">
        <f t="shared" si="3"/>
        <v>-0.44721359549995793</v>
      </c>
      <c r="R5" s="215">
        <f t="shared" si="3"/>
        <v>-0.89442719099991586</v>
      </c>
      <c r="S5" s="215">
        <f t="shared" si="3"/>
        <v>0.74535599249992979</v>
      </c>
      <c r="T5" s="216">
        <f t="shared" si="3"/>
        <v>0.372677996249965</v>
      </c>
      <c r="U5" s="183"/>
      <c r="V5" s="183"/>
      <c r="X5" s="48" t="s">
        <v>95</v>
      </c>
      <c r="Y5">
        <v>2</v>
      </c>
      <c r="Z5">
        <v>1</v>
      </c>
      <c r="AA5">
        <v>5</v>
      </c>
      <c r="AB5" s="47">
        <v>4</v>
      </c>
    </row>
    <row r="6" spans="1:33" x14ac:dyDescent="0.25">
      <c r="B6" s="202">
        <f t="shared" si="0"/>
        <v>1</v>
      </c>
      <c r="C6" s="203">
        <f t="shared" si="1"/>
        <v>1</v>
      </c>
      <c r="D6" s="203">
        <f t="shared" si="1"/>
        <v>-0.33333333333333348</v>
      </c>
      <c r="E6" s="204">
        <f t="shared" si="1"/>
        <v>-1.1666666666666665</v>
      </c>
      <c r="F6" s="1"/>
      <c r="G6" s="1"/>
      <c r="H6" s="1"/>
      <c r="J6" s="162">
        <f t="shared" si="2"/>
        <v>0.2</v>
      </c>
      <c r="K6" s="163">
        <f t="shared" si="2"/>
        <v>0.2</v>
      </c>
      <c r="L6" s="163">
        <f t="shared" si="2"/>
        <v>-6.6666666666666693E-2</v>
      </c>
      <c r="M6" s="164">
        <f t="shared" si="2"/>
        <v>-0.23333333333333331</v>
      </c>
      <c r="N6" s="1"/>
      <c r="O6" s="1"/>
      <c r="P6" s="1"/>
      <c r="Q6" s="214">
        <f t="shared" si="3"/>
        <v>0.44721359549995793</v>
      </c>
      <c r="R6" s="215">
        <f t="shared" si="3"/>
        <v>0.44721359549995793</v>
      </c>
      <c r="S6" s="215">
        <f t="shared" si="3"/>
        <v>-0.14907119849998604</v>
      </c>
      <c r="T6" s="216">
        <f t="shared" si="3"/>
        <v>-0.52174919474995085</v>
      </c>
      <c r="U6" s="183"/>
      <c r="V6" s="183"/>
      <c r="X6" s="48" t="s">
        <v>96</v>
      </c>
      <c r="Y6">
        <v>4</v>
      </c>
      <c r="Z6">
        <v>4</v>
      </c>
      <c r="AA6">
        <v>3</v>
      </c>
      <c r="AB6" s="47">
        <v>2</v>
      </c>
    </row>
    <row r="7" spans="1:33" ht="15.75" thickBot="1" x14ac:dyDescent="0.3">
      <c r="B7" s="205">
        <f t="shared" si="0"/>
        <v>-1</v>
      </c>
      <c r="C7" s="206">
        <f t="shared" si="1"/>
        <v>-1</v>
      </c>
      <c r="D7" s="206">
        <f t="shared" si="1"/>
        <v>0.66666666666666652</v>
      </c>
      <c r="E7" s="207">
        <f t="shared" si="1"/>
        <v>1.8333333333333335</v>
      </c>
      <c r="F7" s="1"/>
      <c r="G7" s="1"/>
      <c r="H7" s="1"/>
      <c r="J7" s="165">
        <f t="shared" si="2"/>
        <v>-0.2</v>
      </c>
      <c r="K7" s="166">
        <f t="shared" si="2"/>
        <v>-0.2</v>
      </c>
      <c r="L7" s="166">
        <f t="shared" si="2"/>
        <v>0.1333333333333333</v>
      </c>
      <c r="M7" s="167">
        <f t="shared" si="2"/>
        <v>0.3666666666666667</v>
      </c>
      <c r="N7" s="1"/>
      <c r="O7" s="1"/>
      <c r="P7" s="1"/>
      <c r="Q7" s="214">
        <f t="shared" si="3"/>
        <v>-0.44721359549995793</v>
      </c>
      <c r="R7" s="215">
        <f t="shared" si="3"/>
        <v>-0.44721359549995793</v>
      </c>
      <c r="S7" s="215">
        <f t="shared" si="3"/>
        <v>0.29814239699997186</v>
      </c>
      <c r="T7" s="216">
        <f t="shared" si="3"/>
        <v>0.81989159174992299</v>
      </c>
      <c r="U7" s="183"/>
      <c r="V7" s="183"/>
      <c r="X7" s="48" t="s">
        <v>97</v>
      </c>
      <c r="Y7">
        <v>2</v>
      </c>
      <c r="Z7">
        <v>2</v>
      </c>
      <c r="AA7">
        <v>4</v>
      </c>
      <c r="AB7" s="47">
        <v>5</v>
      </c>
    </row>
    <row r="8" spans="1:33" ht="15.75" thickBot="1" x14ac:dyDescent="0.3">
      <c r="A8" s="46" t="s">
        <v>98</v>
      </c>
      <c r="B8" s="86">
        <f>AVERAGE(B2:B7)</f>
        <v>0</v>
      </c>
      <c r="C8" s="86">
        <f>AVERAGE(C2:C7)</f>
        <v>0</v>
      </c>
      <c r="D8" s="86">
        <f t="shared" ref="D8:E8" si="4">AVERAGE(D2:D7)</f>
        <v>-1.4802973661668753E-16</v>
      </c>
      <c r="E8" s="87">
        <f t="shared" si="4"/>
        <v>0</v>
      </c>
      <c r="F8" s="1" t="str">
        <f ca="1">_xlfn.FORMULATEXT(B8)</f>
        <v>=AVERAGE(B2:B7)</v>
      </c>
      <c r="G8" s="1"/>
      <c r="H8" s="1"/>
      <c r="I8" s="46" t="s">
        <v>98</v>
      </c>
      <c r="J8" s="220">
        <f>AVERAGE(J2:J7)</f>
        <v>0</v>
      </c>
      <c r="K8" s="220">
        <f>AVERAGE(K2:K7)</f>
        <v>0</v>
      </c>
      <c r="L8" s="220">
        <f>AVERAGE(L2:L7)</f>
        <v>-3.7007434154171883E-17</v>
      </c>
      <c r="M8" s="221">
        <f>AVERAGE(M2:M7)</f>
        <v>0</v>
      </c>
      <c r="N8" s="183"/>
      <c r="O8" s="183"/>
      <c r="P8" s="184" t="s">
        <v>98</v>
      </c>
      <c r="Q8" s="220">
        <f>AVERAGE(Q2:Q7)</f>
        <v>0</v>
      </c>
      <c r="R8" s="220">
        <f t="shared" ref="R8:T8" si="5">AVERAGE(R2:R7)</f>
        <v>0</v>
      </c>
      <c r="S8" s="220">
        <f t="shared" si="5"/>
        <v>0</v>
      </c>
      <c r="T8" s="221">
        <f t="shared" si="5"/>
        <v>0</v>
      </c>
      <c r="U8" s="183"/>
      <c r="V8" s="183"/>
      <c r="X8" s="46" t="s">
        <v>98</v>
      </c>
      <c r="Y8" s="86">
        <f>AVERAGE(Y2:Y7)</f>
        <v>3</v>
      </c>
      <c r="Z8" s="86">
        <f t="shared" ref="Z8:AB8" si="6">AVERAGE(Z2:Z7)</f>
        <v>3</v>
      </c>
      <c r="AA8" s="86">
        <f t="shared" si="6"/>
        <v>3.3333333333333335</v>
      </c>
      <c r="AB8" s="87">
        <f t="shared" si="6"/>
        <v>3.1666666666666665</v>
      </c>
    </row>
    <row r="9" spans="1:33" ht="15.75" thickBot="1" x14ac:dyDescent="0.3">
      <c r="A9" s="42" t="s">
        <v>221</v>
      </c>
      <c r="B9" t="str">
        <f ca="1">_xlfn.FORMULATEXT(B2)</f>
        <v>=(Y2-Y$8)</v>
      </c>
      <c r="I9" s="42" t="s">
        <v>222</v>
      </c>
      <c r="J9" s="71" t="str">
        <f ca="1">_xlfn.FORMULATEXT(J2)</f>
        <v>=(Y2-Y$8)*(1/(COUNT($Y$2:$Y$7)-1))</v>
      </c>
      <c r="K9" s="71"/>
      <c r="L9" s="71"/>
      <c r="M9" s="71"/>
      <c r="N9" s="71"/>
      <c r="O9" s="71"/>
      <c r="P9" s="222" t="s">
        <v>223</v>
      </c>
      <c r="Q9" s="71" t="str">
        <f ca="1">_xlfn.FORMULATEXT(Q2)</f>
        <v>=(Y2-Y$8)*SQRT(1/(COUNT($Y$2:$Y$7)-1))</v>
      </c>
      <c r="R9" s="71"/>
      <c r="S9" s="71"/>
      <c r="T9" s="71"/>
      <c r="U9" s="71"/>
      <c r="V9" s="71"/>
      <c r="X9" s="53"/>
      <c r="Y9" s="69" t="str">
        <f ca="1">_xlfn.FORMULATEXT(Y8)</f>
        <v>=AVERAGE(Y2:Y7)</v>
      </c>
      <c r="Z9" s="56"/>
      <c r="AA9" s="56"/>
      <c r="AB9" s="52"/>
    </row>
    <row r="10" spans="1:33" ht="15.75" thickBot="1" x14ac:dyDescent="0.3">
      <c r="A10" s="42"/>
      <c r="I10" s="42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Y10" s="1"/>
    </row>
    <row r="11" spans="1:33" ht="18.75" thickBot="1" x14ac:dyDescent="0.4">
      <c r="A11" s="42"/>
      <c r="B11" s="46" t="s">
        <v>228</v>
      </c>
      <c r="C11" s="45"/>
      <c r="D11" s="45"/>
      <c r="E11" s="44"/>
      <c r="I11" s="42"/>
      <c r="J11" s="46" t="s">
        <v>229</v>
      </c>
      <c r="K11" s="45"/>
      <c r="L11" s="45"/>
      <c r="M11" s="44"/>
      <c r="Q11" s="46" t="s">
        <v>230</v>
      </c>
      <c r="R11" s="45"/>
      <c r="S11" s="45"/>
      <c r="T11" s="44"/>
      <c r="X11" s="46"/>
      <c r="Y11" s="45"/>
      <c r="Z11" s="45"/>
      <c r="AA11" s="44"/>
      <c r="AD11" s="244" t="s">
        <v>231</v>
      </c>
      <c r="AE11" s="45"/>
      <c r="AF11" s="45"/>
      <c r="AG11" s="44"/>
    </row>
    <row r="12" spans="1:33" x14ac:dyDescent="0.25">
      <c r="A12" s="42"/>
      <c r="B12" s="223" cm="1">
        <f t="array" ref="B12:E15">1/5*MMULT(TRANSPOSE(B2:E7),B2:E7)</f>
        <v>2.4000000000000004</v>
      </c>
      <c r="C12" s="224">
        <v>2</v>
      </c>
      <c r="D12" s="224">
        <v>-1.6</v>
      </c>
      <c r="E12" s="225">
        <v>-2.6000000000000005</v>
      </c>
      <c r="I12" s="42"/>
      <c r="J12" s="223" cm="1">
        <f t="array" ref="J12:M15">5*MMULT(TRANSPOSE(J2:M7),J2:M7)</f>
        <v>2.4000000000000012</v>
      </c>
      <c r="K12" s="224">
        <v>2.0000000000000009</v>
      </c>
      <c r="L12" s="224">
        <v>-1.6000000000000003</v>
      </c>
      <c r="M12" s="225">
        <v>-2.6</v>
      </c>
      <c r="Q12" s="223" cm="1">
        <f t="array" ref="Q12:T15">MMULT(TRANSPOSE(Q2:T7),Q2:T7)</f>
        <v>2.4</v>
      </c>
      <c r="R12" s="224">
        <v>1.9999999999999998</v>
      </c>
      <c r="S12" s="224">
        <v>-1.5999999999999999</v>
      </c>
      <c r="T12" s="225">
        <v>-2.5999999999999996</v>
      </c>
      <c r="X12" s="235" cm="1">
        <f t="array" ref="X12:AA15">MMULT(TRANSPOSE(B2:E7),B2:E7)</f>
        <v>12</v>
      </c>
      <c r="Y12" s="236">
        <v>10</v>
      </c>
      <c r="Z12" s="236">
        <v>-8</v>
      </c>
      <c r="AA12" s="237">
        <v>-13.000000000000002</v>
      </c>
      <c r="AD12" s="235" cm="1">
        <f t="array" ref="AD12:AG15">MMULT(B28:E31,MMULT((B35:E38)^2,TRANSPOSE(B28:E31)))</f>
        <v>12.000000000000005</v>
      </c>
      <c r="AE12" s="236">
        <v>10</v>
      </c>
      <c r="AF12" s="236">
        <v>-8.0000000000000018</v>
      </c>
      <c r="AG12" s="237">
        <v>-12.999999999999996</v>
      </c>
    </row>
    <row r="13" spans="1:33" x14ac:dyDescent="0.25">
      <c r="A13" s="42"/>
      <c r="B13" s="226">
        <v>2</v>
      </c>
      <c r="C13" s="227">
        <v>2.4000000000000004</v>
      </c>
      <c r="D13" s="227">
        <v>-1.7999999999999998</v>
      </c>
      <c r="E13" s="228">
        <v>-2.2000000000000002</v>
      </c>
      <c r="I13" s="42"/>
      <c r="J13" s="226">
        <v>2.0000000000000009</v>
      </c>
      <c r="K13" s="227">
        <v>2.4000000000000004</v>
      </c>
      <c r="L13" s="227">
        <v>-1.8000000000000005</v>
      </c>
      <c r="M13" s="228">
        <v>-2.2000000000000002</v>
      </c>
      <c r="Q13" s="226">
        <v>1.9999999999999998</v>
      </c>
      <c r="R13" s="227">
        <v>2.4000000000000004</v>
      </c>
      <c r="S13" s="227">
        <v>-1.7999999999999998</v>
      </c>
      <c r="T13" s="228">
        <v>-2.2000000000000002</v>
      </c>
      <c r="X13" s="238">
        <v>10</v>
      </c>
      <c r="Y13" s="239">
        <v>12</v>
      </c>
      <c r="Z13" s="239">
        <v>-8.9999999999999982</v>
      </c>
      <c r="AA13" s="240">
        <v>-11</v>
      </c>
      <c r="AD13" s="238">
        <v>10</v>
      </c>
      <c r="AE13" s="239">
        <v>11.999999999999998</v>
      </c>
      <c r="AF13" s="239">
        <v>-9.0000000000000018</v>
      </c>
      <c r="AG13" s="240">
        <v>-10.999999999999998</v>
      </c>
    </row>
    <row r="14" spans="1:33" x14ac:dyDescent="0.25">
      <c r="A14" s="42"/>
      <c r="B14" s="226">
        <v>-1.6</v>
      </c>
      <c r="C14" s="227">
        <v>-1.7999999999999998</v>
      </c>
      <c r="D14" s="227">
        <v>1.466666666666667</v>
      </c>
      <c r="E14" s="228">
        <v>1.7333333333333336</v>
      </c>
      <c r="I14" s="42"/>
      <c r="J14" s="226">
        <v>-1.6000000000000003</v>
      </c>
      <c r="K14" s="227">
        <v>-1.8000000000000005</v>
      </c>
      <c r="L14" s="227">
        <v>1.4666666666666672</v>
      </c>
      <c r="M14" s="228">
        <v>1.7333333333333334</v>
      </c>
      <c r="Q14" s="226">
        <v>-1.5999999999999999</v>
      </c>
      <c r="R14" s="227">
        <v>-1.7999999999999998</v>
      </c>
      <c r="S14" s="227">
        <v>1.4666666666666661</v>
      </c>
      <c r="T14" s="228">
        <v>1.7333333333333332</v>
      </c>
      <c r="X14" s="238">
        <v>-8</v>
      </c>
      <c r="Y14" s="239">
        <v>-8.9999999999999982</v>
      </c>
      <c r="Z14" s="239">
        <v>7.3333333333333348</v>
      </c>
      <c r="AA14" s="240">
        <v>8.6666666666666679</v>
      </c>
      <c r="AD14" s="238">
        <v>-8.0000000000000018</v>
      </c>
      <c r="AE14" s="239">
        <v>-9.0000000000000036</v>
      </c>
      <c r="AF14" s="239">
        <v>7.3333333333333277</v>
      </c>
      <c r="AG14" s="240">
        <v>8.6666666666666661</v>
      </c>
    </row>
    <row r="15" spans="1:33" ht="15.75" thickBot="1" x14ac:dyDescent="0.3">
      <c r="A15" s="42"/>
      <c r="B15" s="229">
        <v>-2.6000000000000005</v>
      </c>
      <c r="C15" s="230">
        <v>-2.2000000000000002</v>
      </c>
      <c r="D15" s="230">
        <v>1.7333333333333336</v>
      </c>
      <c r="E15" s="231">
        <v>2.9666666666666668</v>
      </c>
      <c r="I15" s="42"/>
      <c r="J15" s="229">
        <v>-2.6</v>
      </c>
      <c r="K15" s="230">
        <v>-2.2000000000000002</v>
      </c>
      <c r="L15" s="230">
        <v>1.7333333333333334</v>
      </c>
      <c r="M15" s="231">
        <v>2.9666666666666668</v>
      </c>
      <c r="Q15" s="229">
        <v>-2.5999999999999996</v>
      </c>
      <c r="R15" s="230">
        <v>-2.2000000000000002</v>
      </c>
      <c r="S15" s="230">
        <v>1.7333333333333332</v>
      </c>
      <c r="T15" s="231">
        <v>2.9666666666666668</v>
      </c>
      <c r="X15" s="241">
        <v>-13.000000000000002</v>
      </c>
      <c r="Y15" s="242">
        <v>-11</v>
      </c>
      <c r="Z15" s="242">
        <v>8.6666666666666679</v>
      </c>
      <c r="AA15" s="243">
        <v>14.833333333333332</v>
      </c>
      <c r="AD15" s="241">
        <v>-12.999999999999996</v>
      </c>
      <c r="AE15" s="242">
        <v>-11</v>
      </c>
      <c r="AF15" s="242">
        <v>8.6666666666666661</v>
      </c>
      <c r="AG15" s="243">
        <v>14.833333333333334</v>
      </c>
    </row>
    <row r="16" spans="1:33" x14ac:dyDescent="0.25">
      <c r="A16" s="42"/>
      <c r="B16" t="str">
        <f ca="1">_xlfn.FORMULATEXT(B12)</f>
        <v>=1/5*MMULT(TRANSPOSE(B2:E7),B2:E7)</v>
      </c>
      <c r="I16" s="42"/>
      <c r="J16" t="str">
        <f ca="1">_xlfn.FORMULATEXT(J12)</f>
        <v>=5*MMULT(TRANSPOSE(J2:M7),J2:M7)</v>
      </c>
      <c r="Q16" t="str">
        <f ca="1">_xlfn.FORMULATEXT(Q12)</f>
        <v>=MMULT(TRANSPOSE(Q2:T7),Q2:T7)</v>
      </c>
      <c r="X16" t="str">
        <f ca="1">_xlfn.FORMULATEXT(X12)</f>
        <v>=MMULT(TRANSPOSE(B2:E7),B2:E7)</v>
      </c>
      <c r="AD16" t="str">
        <f ca="1">_xlfn.FORMULATEXT(AD12)</f>
        <v>=MMULT(B28:E31,MMULT((B35:E38)^2,TRANSPOSE(B28:E31)))</v>
      </c>
    </row>
    <row r="17" spans="1:33" ht="15.75" thickBot="1" x14ac:dyDescent="0.3">
      <c r="A17" s="42"/>
      <c r="I17" s="42"/>
      <c r="J17" s="71"/>
      <c r="K17" s="71"/>
      <c r="L17" s="71"/>
      <c r="M17" s="71"/>
      <c r="Q17" s="71"/>
      <c r="R17" s="71"/>
      <c r="S17" s="71"/>
      <c r="T17" s="71"/>
      <c r="U17" s="71"/>
      <c r="V17" s="71"/>
    </row>
    <row r="18" spans="1:33" ht="18.75" thickBot="1" x14ac:dyDescent="0.4">
      <c r="A18" s="42"/>
      <c r="B18" s="46" t="s">
        <v>162</v>
      </c>
      <c r="C18" s="45"/>
      <c r="D18" s="45"/>
      <c r="E18" s="45"/>
      <c r="F18" s="45"/>
      <c r="G18" s="44"/>
      <c r="I18" s="42"/>
      <c r="J18" s="46" t="s">
        <v>214</v>
      </c>
      <c r="K18" s="45"/>
      <c r="L18" s="45"/>
      <c r="M18" s="45"/>
      <c r="N18" s="45"/>
      <c r="O18" s="44"/>
      <c r="Q18" s="46" t="s">
        <v>213</v>
      </c>
      <c r="R18" s="45"/>
      <c r="S18" s="45"/>
      <c r="T18" s="45"/>
      <c r="U18" s="45"/>
      <c r="V18" s="44"/>
      <c r="X18" s="46" t="s">
        <v>156</v>
      </c>
      <c r="Y18" s="45"/>
      <c r="Z18" s="45"/>
      <c r="AA18" s="44"/>
      <c r="AD18" s="244" t="s">
        <v>227</v>
      </c>
      <c r="AE18" s="45"/>
      <c r="AF18" s="45"/>
      <c r="AG18" s="44"/>
    </row>
    <row r="19" spans="1:33" x14ac:dyDescent="0.25">
      <c r="B19" s="190" cm="1">
        <f t="array" ref="B19:G24">[1]!SVD_U(B2:E7)</f>
        <v>0.5087951402776425</v>
      </c>
      <c r="C19" s="191">
        <v>0.35064500472136118</v>
      </c>
      <c r="D19" s="191">
        <v>0.52839742399999268</v>
      </c>
      <c r="E19" s="191">
        <v>0.40261768454038038</v>
      </c>
      <c r="F19" s="191">
        <v>0.40824829046386096</v>
      </c>
      <c r="G19" s="192">
        <v>0.1010152544552152</v>
      </c>
      <c r="H19" s="73"/>
      <c r="J19" s="190" cm="1">
        <f t="array" ref="J19:O24">[1]!SVD_U(J2:M7)</f>
        <v>0.50879514027764228</v>
      </c>
      <c r="K19" s="191">
        <v>0.35064500472136095</v>
      </c>
      <c r="L19" s="191">
        <v>0.5283974239999929</v>
      </c>
      <c r="M19" s="191">
        <v>0.40261768454038815</v>
      </c>
      <c r="N19" s="191">
        <v>0.40824829046385941</v>
      </c>
      <c r="O19" s="192">
        <v>0.10101525445521697</v>
      </c>
      <c r="P19" s="73"/>
      <c r="Q19" s="190" cm="1">
        <f t="array" ref="Q19:V24">[1]!SVD_U(Q2:T7)</f>
        <v>0.50879514027764228</v>
      </c>
      <c r="R19" s="191">
        <v>0.35064500472136073</v>
      </c>
      <c r="S19" s="191">
        <v>0.52839742399999312</v>
      </c>
      <c r="T19" s="191">
        <v>0.40261768454038149</v>
      </c>
      <c r="U19" s="191">
        <v>0.40824829046386085</v>
      </c>
      <c r="V19" s="192">
        <v>0.10101525445522253</v>
      </c>
      <c r="X19" s="187" cm="1">
        <f t="array" ref="X19:AA22">[1]!SVD_U(B12:E15)</f>
        <v>0.51810244509785996</v>
      </c>
      <c r="Y19" s="188">
        <v>0.38947147186111186</v>
      </c>
      <c r="Z19" s="188">
        <v>0.47163134874516932</v>
      </c>
      <c r="AA19" s="189">
        <v>0.59786762738168453</v>
      </c>
      <c r="AD19" s="223" cm="1">
        <f t="array" ref="AD19:AG22">MMULT(B28:E31,MMULT(((B35:E38)^2)/5,TRANSPOSE(B28:E31)))</f>
        <v>2.4000000000000012</v>
      </c>
      <c r="AE19" s="224">
        <v>1.9999999999999998</v>
      </c>
      <c r="AF19" s="224">
        <v>-1.6000000000000008</v>
      </c>
      <c r="AG19" s="225">
        <v>-2.5999999999999992</v>
      </c>
    </row>
    <row r="20" spans="1:33" x14ac:dyDescent="0.25">
      <c r="B20" s="193">
        <v>0.417478010610563</v>
      </c>
      <c r="C20" s="194">
        <v>-0.47903156960484822</v>
      </c>
      <c r="D20" s="194">
        <v>-0.2439506058745364</v>
      </c>
      <c r="E20" s="194">
        <v>-5.2109139599796156E-2</v>
      </c>
      <c r="F20" s="194">
        <v>0.40824829046385996</v>
      </c>
      <c r="G20" s="195">
        <v>-0.6060915267313286</v>
      </c>
      <c r="H20" s="73"/>
      <c r="J20" s="193">
        <v>0.41747801061056306</v>
      </c>
      <c r="K20" s="194">
        <v>-0.479031569604848</v>
      </c>
      <c r="L20" s="194">
        <v>-0.24395060587453665</v>
      </c>
      <c r="M20" s="194">
        <v>-5.2109139599804191E-2</v>
      </c>
      <c r="N20" s="194">
        <v>0.40824829046386246</v>
      </c>
      <c r="O20" s="195">
        <v>-0.60609152673132638</v>
      </c>
      <c r="P20" s="73"/>
      <c r="Q20" s="193">
        <v>0.41747801061056267</v>
      </c>
      <c r="R20" s="194">
        <v>-0.47903156960484711</v>
      </c>
      <c r="S20" s="194">
        <v>-0.24395060587453612</v>
      </c>
      <c r="T20" s="194">
        <v>-5.2109139599798272E-2</v>
      </c>
      <c r="U20" s="194">
        <v>0.40824829046386479</v>
      </c>
      <c r="V20" s="195">
        <v>-0.60609152673132571</v>
      </c>
      <c r="X20" s="175">
        <v>0.49925617556474222</v>
      </c>
      <c r="Y20" s="176">
        <v>-0.6386947649203506</v>
      </c>
      <c r="Z20" s="176">
        <v>-0.46763672711037713</v>
      </c>
      <c r="AA20" s="177">
        <v>0.35231826504052793</v>
      </c>
      <c r="AD20" s="226">
        <v>1.9999999999999998</v>
      </c>
      <c r="AE20" s="227">
        <v>2.4</v>
      </c>
      <c r="AF20" s="227">
        <v>-1.8000000000000009</v>
      </c>
      <c r="AG20" s="228">
        <v>-2.1999999999999997</v>
      </c>
    </row>
    <row r="21" spans="1:33" x14ac:dyDescent="0.25">
      <c r="B21" s="193">
        <v>-0.43906537714950966</v>
      </c>
      <c r="C21" s="194">
        <v>-0.41729700537914538</v>
      </c>
      <c r="D21" s="194">
        <v>-0.12944980860138147</v>
      </c>
      <c r="E21" s="194">
        <v>0.59818404323643315</v>
      </c>
      <c r="F21" s="194">
        <v>0.40824829046386285</v>
      </c>
      <c r="G21" s="195">
        <v>0.30304576336565686</v>
      </c>
      <c r="H21" s="73"/>
      <c r="J21" s="193">
        <v>-0.43906537714950983</v>
      </c>
      <c r="K21" s="194">
        <v>-0.41729700537914521</v>
      </c>
      <c r="L21" s="194">
        <v>-0.12944980860138119</v>
      </c>
      <c r="M21" s="194">
        <v>0.59818404323642782</v>
      </c>
      <c r="N21" s="194">
        <v>0.40824829046386057</v>
      </c>
      <c r="O21" s="195">
        <v>0.30304576336566008</v>
      </c>
      <c r="P21" s="73"/>
      <c r="Q21" s="193">
        <v>-0.43906537714950944</v>
      </c>
      <c r="R21" s="194">
        <v>-0.41729700537914532</v>
      </c>
      <c r="S21" s="194">
        <v>-0.12944980860138142</v>
      </c>
      <c r="T21" s="194">
        <v>0.59818404323642926</v>
      </c>
      <c r="U21" s="194">
        <v>0.40824829046386157</v>
      </c>
      <c r="V21" s="195">
        <v>0.30304576336566486</v>
      </c>
      <c r="X21" s="175">
        <v>-0.39170923774579069</v>
      </c>
      <c r="Y21" s="176">
        <v>0.43491168123944562</v>
      </c>
      <c r="Z21" s="176">
        <v>-0.60834740547117794</v>
      </c>
      <c r="AA21" s="177">
        <v>0.53603091034221306</v>
      </c>
      <c r="AD21" s="226">
        <v>-1.6000000000000008</v>
      </c>
      <c r="AE21" s="227">
        <v>-1.8000000000000012</v>
      </c>
      <c r="AF21" s="227">
        <v>1.4666666666666657</v>
      </c>
      <c r="AG21" s="228">
        <v>1.7333333333333334</v>
      </c>
    </row>
    <row r="22" spans="1:33" ht="15.75" thickBot="1" x14ac:dyDescent="0.3">
      <c r="B22" s="193">
        <v>-0.40813706815168349</v>
      </c>
      <c r="C22" s="194">
        <v>0.64831301926304741</v>
      </c>
      <c r="D22" s="194">
        <v>-0.28794328563571814</v>
      </c>
      <c r="E22" s="194">
        <v>1.6463721413168361E-2</v>
      </c>
      <c r="F22" s="194">
        <v>0.40824829046386124</v>
      </c>
      <c r="G22" s="195">
        <v>-0.40406101782088666</v>
      </c>
      <c r="H22" s="73"/>
      <c r="J22" s="193">
        <v>-0.40813706815168355</v>
      </c>
      <c r="K22" s="194">
        <v>0.64831301926304752</v>
      </c>
      <c r="L22" s="194">
        <v>-0.28794328563571842</v>
      </c>
      <c r="M22" s="194">
        <v>1.6463721413158945E-2</v>
      </c>
      <c r="N22" s="194">
        <v>0.40824829046386307</v>
      </c>
      <c r="O22" s="195">
        <v>-0.40406101782088477</v>
      </c>
      <c r="P22" s="73"/>
      <c r="Q22" s="193">
        <v>-0.40813706815168316</v>
      </c>
      <c r="R22" s="194">
        <v>0.6483130192630483</v>
      </c>
      <c r="S22" s="194">
        <v>-0.28794328563571753</v>
      </c>
      <c r="T22" s="194">
        <v>1.6463721413165044E-2</v>
      </c>
      <c r="U22" s="194">
        <v>0.40824829046386474</v>
      </c>
      <c r="V22" s="195">
        <v>-0.40406101782088338</v>
      </c>
      <c r="X22" s="178">
        <v>-0.57347798615875223</v>
      </c>
      <c r="Y22" s="179">
        <v>-0.50123128333251121</v>
      </c>
      <c r="Z22" s="179">
        <v>0.434503390774794</v>
      </c>
      <c r="AA22" s="180">
        <v>0.48072549693720823</v>
      </c>
      <c r="AD22" s="229">
        <v>-2.5999999999999992</v>
      </c>
      <c r="AE22" s="230">
        <v>-2.2000000000000002</v>
      </c>
      <c r="AF22" s="230">
        <v>1.7333333333333336</v>
      </c>
      <c r="AG22" s="231">
        <v>2.9666666666666668</v>
      </c>
    </row>
    <row r="23" spans="1:33" x14ac:dyDescent="0.25">
      <c r="B23" s="193">
        <v>0.2801201303712551</v>
      </c>
      <c r="C23" s="194">
        <v>0.10338477847319628</v>
      </c>
      <c r="D23" s="194">
        <v>-0.4592541293309888</v>
      </c>
      <c r="E23" s="194">
        <v>-0.40732829436596008</v>
      </c>
      <c r="F23" s="194">
        <v>0.4082482904638699</v>
      </c>
      <c r="G23" s="195">
        <v>0.60609152673132682</v>
      </c>
      <c r="H23" s="73"/>
      <c r="J23" s="193">
        <v>0.2801201303712551</v>
      </c>
      <c r="K23" s="194">
        <v>0.10338477847319656</v>
      </c>
      <c r="L23" s="194">
        <v>-0.4592541293309903</v>
      </c>
      <c r="M23" s="194">
        <v>-0.40732829436597251</v>
      </c>
      <c r="N23" s="194">
        <v>0.40824829046386807</v>
      </c>
      <c r="O23" s="195">
        <v>0.6060915267313286</v>
      </c>
      <c r="P23" s="73"/>
      <c r="Q23" s="193">
        <v>0.28012013037125488</v>
      </c>
      <c r="R23" s="194">
        <v>0.10338477847319667</v>
      </c>
      <c r="S23" s="194">
        <v>-0.45925412933098753</v>
      </c>
      <c r="T23" s="194">
        <v>-0.40732829436596724</v>
      </c>
      <c r="U23" s="194">
        <v>0.40824829046386385</v>
      </c>
      <c r="V23" s="195">
        <v>0.60609152673132716</v>
      </c>
      <c r="X23" t="str">
        <f ca="1">_xlfn.FORMULATEXT(X19)</f>
        <v>=SVD_U(B12:E15)</v>
      </c>
      <c r="AD23" t="str">
        <f ca="1">_xlfn.FORMULATEXT(AD19)</f>
        <v>=MMULT(B28:E31,MMULT(((B35:E38)^2)/5,TRANSPOSE(B28:E31)))</v>
      </c>
    </row>
    <row r="24" spans="1:33" ht="15.75" thickBot="1" x14ac:dyDescent="0.3">
      <c r="B24" s="196">
        <v>-0.35919083595826706</v>
      </c>
      <c r="C24" s="197">
        <v>-0.20601422747361234</v>
      </c>
      <c r="D24" s="197">
        <v>0.59220040544263952</v>
      </c>
      <c r="E24" s="197">
        <v>-0.557828015224202</v>
      </c>
      <c r="F24" s="197">
        <v>0.40824829046386374</v>
      </c>
      <c r="G24" s="198">
        <v>0</v>
      </c>
      <c r="H24" s="73"/>
      <c r="J24" s="196">
        <v>-0.35919083595826584</v>
      </c>
      <c r="K24" s="197">
        <v>-0.20601422747361264</v>
      </c>
      <c r="L24" s="197">
        <v>0.5922004054426383</v>
      </c>
      <c r="M24" s="197">
        <v>-0.55782801522419256</v>
      </c>
      <c r="N24" s="197">
        <v>0.40824829046386402</v>
      </c>
      <c r="O24" s="198">
        <v>0</v>
      </c>
      <c r="P24" s="73"/>
      <c r="Q24" s="196">
        <v>-0.35919083595826867</v>
      </c>
      <c r="R24" s="197">
        <v>-0.2060142274736127</v>
      </c>
      <c r="S24" s="197">
        <v>0.59220040544264063</v>
      </c>
      <c r="T24" s="197">
        <v>-0.55782801522419989</v>
      </c>
      <c r="U24" s="197">
        <v>0.40824829046386246</v>
      </c>
      <c r="V24" s="198">
        <v>0</v>
      </c>
    </row>
    <row r="25" spans="1:33" x14ac:dyDescent="0.25">
      <c r="B25" t="str">
        <f ca="1">_xlfn.FORMULATEXT(B19)</f>
        <v>=SVD_U(B2:E7)</v>
      </c>
      <c r="J25" t="str">
        <f ca="1">_xlfn.FORMULATEXT(J19)</f>
        <v>=SVD_U(J2:M7)</v>
      </c>
      <c r="Q25" t="str">
        <f ca="1">_xlfn.FORMULATEXT(Q19)</f>
        <v>=SVD_U(Q2:T7)</v>
      </c>
    </row>
    <row r="26" spans="1:33" ht="15.75" thickBot="1" x14ac:dyDescent="0.3"/>
    <row r="27" spans="1:33" ht="18.75" thickBot="1" x14ac:dyDescent="0.4">
      <c r="B27" s="46" t="s">
        <v>205</v>
      </c>
      <c r="C27" s="45"/>
      <c r="D27" s="45"/>
      <c r="E27" s="44"/>
      <c r="J27" s="46" t="s">
        <v>215</v>
      </c>
      <c r="K27" s="45"/>
      <c r="L27" s="45"/>
      <c r="M27" s="44"/>
      <c r="Q27" s="46" t="s">
        <v>216</v>
      </c>
      <c r="R27" s="45"/>
      <c r="S27" s="45"/>
      <c r="T27" s="44"/>
      <c r="X27" s="46" t="s">
        <v>155</v>
      </c>
      <c r="Y27" s="45"/>
      <c r="Z27" s="45"/>
      <c r="AA27" s="44"/>
    </row>
    <row r="28" spans="1:33" x14ac:dyDescent="0.25">
      <c r="B28" s="187" cm="1">
        <f t="array" ref="B28:E31">[1]!SVD_V(B2:E7)</f>
        <v>0.51810244509785974</v>
      </c>
      <c r="C28" s="188">
        <v>0.38947147186111097</v>
      </c>
      <c r="D28" s="188">
        <v>0.47163134874515822</v>
      </c>
      <c r="E28" s="189">
        <v>-0.597867627381508</v>
      </c>
      <c r="J28" s="187" cm="1">
        <f t="array" ref="J28:M31">[1]!SVD_V(J2:M7)</f>
        <v>0.51810244509785974</v>
      </c>
      <c r="K28" s="188">
        <v>0.3894714718611107</v>
      </c>
      <c r="L28" s="188">
        <v>0.47163134874515678</v>
      </c>
      <c r="M28" s="189">
        <v>-0.59786762738149779</v>
      </c>
      <c r="Q28" s="187" cm="1">
        <f t="array" ref="Q28:T31">[1]!SVD_V(Q2:T7)</f>
        <v>0.51810244509785996</v>
      </c>
      <c r="R28" s="188">
        <v>0.38947147186111075</v>
      </c>
      <c r="S28" s="188">
        <v>0.47163134874515911</v>
      </c>
      <c r="T28" s="189">
        <v>-0.59786762738150678</v>
      </c>
      <c r="X28" s="187" cm="1">
        <f t="array" ref="X28:AA31">[1]!SVD_V(B12:E15)</f>
        <v>0.51810244509785974</v>
      </c>
      <c r="Y28" s="188">
        <v>0.38947147186111114</v>
      </c>
      <c r="Z28" s="188">
        <v>0.47163134874527424</v>
      </c>
      <c r="AA28" s="189">
        <v>0.59786762738205979</v>
      </c>
    </row>
    <row r="29" spans="1:33" x14ac:dyDescent="0.25">
      <c r="B29" s="175">
        <v>0.49925617556474217</v>
      </c>
      <c r="C29" s="176">
        <v>-0.63869476492034749</v>
      </c>
      <c r="D29" s="176">
        <v>-0.4676367271103839</v>
      </c>
      <c r="E29" s="177">
        <v>-0.35231826504069796</v>
      </c>
      <c r="J29" s="175">
        <v>0.49925617556474217</v>
      </c>
      <c r="K29" s="176">
        <v>-0.63869476492034671</v>
      </c>
      <c r="L29" s="176">
        <v>-0.46763672711038312</v>
      </c>
      <c r="M29" s="177">
        <v>-0.3523182650407099</v>
      </c>
      <c r="Q29" s="175">
        <v>0.49925617556474244</v>
      </c>
      <c r="R29" s="176">
        <v>-0.63869476492034694</v>
      </c>
      <c r="S29" s="176">
        <v>-0.46763672711038357</v>
      </c>
      <c r="T29" s="177">
        <v>-0.35231826504070302</v>
      </c>
      <c r="X29" s="175">
        <v>0.49925617556474222</v>
      </c>
      <c r="Y29" s="176">
        <v>-0.6386947649203466</v>
      </c>
      <c r="Z29" s="176">
        <v>-0.4676367271104887</v>
      </c>
      <c r="AA29" s="177">
        <v>0.35231826504059377</v>
      </c>
    </row>
    <row r="30" spans="1:33" x14ac:dyDescent="0.25">
      <c r="B30" s="175">
        <v>-0.39170923774579064</v>
      </c>
      <c r="C30" s="176">
        <v>0.43491168123945045</v>
      </c>
      <c r="D30" s="176">
        <v>-0.60834740547118649</v>
      </c>
      <c r="E30" s="177">
        <v>-0.53603091034243666</v>
      </c>
      <c r="J30" s="175">
        <v>-0.39170923774579064</v>
      </c>
      <c r="K30" s="176">
        <v>0.43491168123945018</v>
      </c>
      <c r="L30" s="176">
        <v>-0.60834740547118604</v>
      </c>
      <c r="M30" s="177">
        <v>-0.53603091034245343</v>
      </c>
      <c r="Q30" s="175">
        <v>-0.39170923774579075</v>
      </c>
      <c r="R30" s="176">
        <v>0.43491168123945029</v>
      </c>
      <c r="S30" s="176">
        <v>-0.60834740547118527</v>
      </c>
      <c r="T30" s="177">
        <v>-0.53603091034244399</v>
      </c>
      <c r="X30" s="175">
        <v>-0.39170923774579069</v>
      </c>
      <c r="Y30" s="176">
        <v>0.43491168123944884</v>
      </c>
      <c r="Z30" s="176">
        <v>-0.60834740547133759</v>
      </c>
      <c r="AA30" s="177">
        <v>0.53603091034232819</v>
      </c>
    </row>
    <row r="31" spans="1:33" ht="15.75" thickBot="1" x14ac:dyDescent="0.3">
      <c r="B31" s="178">
        <v>-0.57347798615875223</v>
      </c>
      <c r="C31" s="179">
        <v>-0.50123128333251288</v>
      </c>
      <c r="D31" s="179">
        <v>0.43450339077478428</v>
      </c>
      <c r="E31" s="180">
        <v>-0.48072549693704802</v>
      </c>
      <c r="J31" s="178">
        <v>-0.57347798615875223</v>
      </c>
      <c r="K31" s="179">
        <v>-0.50123128333251266</v>
      </c>
      <c r="L31" s="179">
        <v>0.43450339077478323</v>
      </c>
      <c r="M31" s="180">
        <v>-0.4807254969370357</v>
      </c>
      <c r="Q31" s="178">
        <v>-0.57347798615875267</v>
      </c>
      <c r="R31" s="179">
        <v>-0.50123128333251299</v>
      </c>
      <c r="S31" s="179">
        <v>0.43450339077478406</v>
      </c>
      <c r="T31" s="180">
        <v>-0.48072549693704497</v>
      </c>
      <c r="X31" s="178">
        <v>-0.57347798615875234</v>
      </c>
      <c r="Y31" s="179">
        <v>-0.50123128333251199</v>
      </c>
      <c r="Z31" s="179">
        <v>0.43450339077489247</v>
      </c>
      <c r="AA31" s="180">
        <v>0.48072549693756028</v>
      </c>
    </row>
    <row r="32" spans="1:33" x14ac:dyDescent="0.25">
      <c r="B32" t="str">
        <f ca="1">_xlfn.FORMULATEXT(B28)</f>
        <v>=SVD_V(B2:E7)</v>
      </c>
      <c r="J32" t="str">
        <f ca="1">_xlfn.FORMULATEXT(J28)</f>
        <v>=SVD_V(J2:M7)</v>
      </c>
      <c r="Q32" t="str">
        <f ca="1">_xlfn.FORMULATEXT(Q28)</f>
        <v>=SVD_V(Q2:T7)</v>
      </c>
      <c r="X32" t="str">
        <f ca="1">_xlfn.FORMULATEXT(X28)</f>
        <v>=SVD_V(B12:E15)</v>
      </c>
    </row>
    <row r="33" spans="2:33" ht="15.75" thickBot="1" x14ac:dyDescent="0.3"/>
    <row r="34" spans="2:33" ht="18.75" thickBot="1" x14ac:dyDescent="0.4">
      <c r="B34" s="85" t="s">
        <v>206</v>
      </c>
      <c r="C34" s="45"/>
      <c r="D34" s="45"/>
      <c r="E34" s="44"/>
      <c r="J34" s="85" t="s">
        <v>208</v>
      </c>
      <c r="K34" s="45"/>
      <c r="L34" s="45"/>
      <c r="M34" s="44"/>
      <c r="Q34" s="85" t="s">
        <v>207</v>
      </c>
      <c r="R34" s="45"/>
      <c r="S34" s="45"/>
      <c r="T34" s="44"/>
      <c r="X34" s="85" t="s">
        <v>204</v>
      </c>
      <c r="Y34" s="45"/>
      <c r="Z34" s="45"/>
      <c r="AA34" s="44"/>
      <c r="AD34" s="92" t="s">
        <v>217</v>
      </c>
      <c r="AE34" s="45"/>
      <c r="AF34" s="45"/>
      <c r="AG34" s="44"/>
    </row>
    <row r="35" spans="2:33" ht="15.75" thickBot="1" x14ac:dyDescent="0.3">
      <c r="B35" s="93" cm="1">
        <f t="array" ref="B35:E40">[1]!SVD_D(B2:E7)</f>
        <v>6.4864528468135498</v>
      </c>
      <c r="C35" s="50">
        <v>0</v>
      </c>
      <c r="D35" s="50">
        <v>0</v>
      </c>
      <c r="E35" s="49">
        <v>0</v>
      </c>
      <c r="F35" s="73">
        <f>B35^2</f>
        <v>42.074070533935604</v>
      </c>
      <c r="G35" s="97">
        <f>F35/5</f>
        <v>8.4148141067871212</v>
      </c>
      <c r="H35" s="73"/>
      <c r="J35" s="93" cm="1">
        <f t="array" ref="J35:M40">[1]!SVD_D(J2:M7)</f>
        <v>1.2972905693627095</v>
      </c>
      <c r="K35" s="50">
        <v>0</v>
      </c>
      <c r="L35" s="50">
        <v>0</v>
      </c>
      <c r="M35" s="49">
        <v>0</v>
      </c>
      <c r="N35" s="97">
        <f>(J35^2)*5</f>
        <v>8.4148141067871158</v>
      </c>
      <c r="Q35" s="93" cm="1">
        <f t="array" ref="Q35:T40">[1]!SVD_D(Q2:T7)</f>
        <v>2.9008298996644242</v>
      </c>
      <c r="R35" s="50">
        <v>0</v>
      </c>
      <c r="S35" s="50">
        <v>0</v>
      </c>
      <c r="T35" s="49">
        <v>0</v>
      </c>
      <c r="U35" s="97">
        <f>Q35^2</f>
        <v>8.4148141067871141</v>
      </c>
      <c r="X35" s="98" cm="1">
        <f t="array" ref="X35:AA38">[1]!SVD_D(B12:E15)</f>
        <v>8.4148141067871194</v>
      </c>
      <c r="Y35" s="50">
        <v>0</v>
      </c>
      <c r="Z35" s="50">
        <v>0</v>
      </c>
      <c r="AA35" s="49">
        <v>0</v>
      </c>
      <c r="AD35" s="155" cm="1">
        <f t="array" ref="AD35:AG41">[1]!eigVECTSym(B12:E15)</f>
        <v>8.4148141067871158</v>
      </c>
      <c r="AE35" s="156">
        <v>0.67959958156260658</v>
      </c>
      <c r="AF35" s="156">
        <v>8.5424379898126374E-2</v>
      </c>
      <c r="AG35" s="157">
        <v>5.3495265085481504E-2</v>
      </c>
    </row>
    <row r="36" spans="2:33" x14ac:dyDescent="0.25">
      <c r="B36" s="48">
        <v>0</v>
      </c>
      <c r="C36" s="73">
        <v>1.8433659180458521</v>
      </c>
      <c r="D36">
        <v>0</v>
      </c>
      <c r="E36" s="47">
        <v>0</v>
      </c>
      <c r="F36" s="73">
        <f>C36^2</f>
        <v>3.3979979078130271</v>
      </c>
      <c r="G36" s="97">
        <f t="shared" ref="G36:G38" si="7">F36/5</f>
        <v>0.67959958156260547</v>
      </c>
      <c r="H36" s="73"/>
      <c r="J36" s="48">
        <v>0</v>
      </c>
      <c r="K36" s="73">
        <v>0.36867318360917073</v>
      </c>
      <c r="L36">
        <v>0</v>
      </c>
      <c r="M36" s="47">
        <v>0</v>
      </c>
      <c r="N36" s="97">
        <f>(K36^2)*5</f>
        <v>0.67959958156260658</v>
      </c>
      <c r="Q36" s="48">
        <v>0</v>
      </c>
      <c r="R36" s="73">
        <v>0.8243783000313667</v>
      </c>
      <c r="S36">
        <v>0</v>
      </c>
      <c r="T36" s="47">
        <v>0</v>
      </c>
      <c r="U36" s="97">
        <f>R36^2</f>
        <v>0.67959958156260603</v>
      </c>
      <c r="X36" s="48">
        <v>0</v>
      </c>
      <c r="Y36" s="97">
        <v>0.67959958156260691</v>
      </c>
      <c r="Z36">
        <v>0</v>
      </c>
      <c r="AA36" s="47">
        <v>0</v>
      </c>
      <c r="AC36" s="233" t="s">
        <v>108</v>
      </c>
      <c r="AD36" s="93">
        <v>-0.51810244509786019</v>
      </c>
      <c r="AE36" s="119">
        <v>-0.38947147186111097</v>
      </c>
      <c r="AF36" s="119">
        <v>-0.47163134874514734</v>
      </c>
      <c r="AG36" s="154">
        <v>-0.59786762738151422</v>
      </c>
    </row>
    <row r="37" spans="2:33" x14ac:dyDescent="0.25">
      <c r="B37" s="48">
        <v>0</v>
      </c>
      <c r="C37">
        <v>0</v>
      </c>
      <c r="D37" s="73">
        <v>0.65354563688439671</v>
      </c>
      <c r="E37" s="47">
        <v>0</v>
      </c>
      <c r="F37" s="73">
        <f>D37^2</f>
        <v>0.42712189949063173</v>
      </c>
      <c r="G37" s="97">
        <f t="shared" si="7"/>
        <v>8.5424379898126346E-2</v>
      </c>
      <c r="H37" s="73"/>
      <c r="J37" s="48">
        <v>0</v>
      </c>
      <c r="K37">
        <v>0</v>
      </c>
      <c r="L37" s="73">
        <v>0.13070912737687967</v>
      </c>
      <c r="M37" s="47">
        <v>0</v>
      </c>
      <c r="N37" s="97">
        <f>(L37^2)*5</f>
        <v>8.5424379898126776E-2</v>
      </c>
      <c r="Q37" s="48">
        <v>0</v>
      </c>
      <c r="R37">
        <v>0</v>
      </c>
      <c r="S37" s="73">
        <v>0.29227449409438133</v>
      </c>
      <c r="T37" s="47">
        <v>0</v>
      </c>
      <c r="U37" s="97">
        <f>S37^2</f>
        <v>8.5424379898126554E-2</v>
      </c>
      <c r="X37" s="48">
        <v>0</v>
      </c>
      <c r="Y37">
        <v>0</v>
      </c>
      <c r="Z37" s="97">
        <v>8.5424379898105515E-2</v>
      </c>
      <c r="AA37" s="47">
        <v>0</v>
      </c>
      <c r="AC37" s="234" t="s">
        <v>173</v>
      </c>
      <c r="AD37" s="113">
        <v>-0.49925617556474239</v>
      </c>
      <c r="AE37" s="73">
        <v>0.63869476492034749</v>
      </c>
      <c r="AF37" s="73">
        <v>0.46763672711039106</v>
      </c>
      <c r="AG37" s="108">
        <v>-0.35231826504069658</v>
      </c>
    </row>
    <row r="38" spans="2:33" ht="15.75" thickBot="1" x14ac:dyDescent="0.3">
      <c r="B38" s="53">
        <v>0</v>
      </c>
      <c r="C38" s="56">
        <v>0</v>
      </c>
      <c r="D38" s="56">
        <v>0</v>
      </c>
      <c r="E38" s="94">
        <v>0.51718113405982979</v>
      </c>
      <c r="F38" s="73">
        <f>E38^2</f>
        <v>0.26747632542741162</v>
      </c>
      <c r="G38" s="97">
        <f t="shared" si="7"/>
        <v>5.3495265085482323E-2</v>
      </c>
      <c r="H38" s="73"/>
      <c r="J38" s="53">
        <v>0</v>
      </c>
      <c r="K38" s="56">
        <v>0</v>
      </c>
      <c r="L38" s="56">
        <v>0</v>
      </c>
      <c r="M38" s="94">
        <v>0.10343622681196588</v>
      </c>
      <c r="N38" s="97">
        <f>(M38^2)*5</f>
        <v>5.349526508548224E-2</v>
      </c>
      <c r="Q38" s="53">
        <v>0</v>
      </c>
      <c r="R38" s="56">
        <v>0</v>
      </c>
      <c r="S38" s="56">
        <v>0</v>
      </c>
      <c r="T38" s="94">
        <v>0.23129043448764147</v>
      </c>
      <c r="U38" s="97">
        <f>T38^2</f>
        <v>5.3495265085481969E-2</v>
      </c>
      <c r="X38" s="53">
        <v>0</v>
      </c>
      <c r="Y38" s="56">
        <v>0</v>
      </c>
      <c r="Z38" s="56">
        <v>0</v>
      </c>
      <c r="AA38" s="99">
        <v>5.3495265085456427E-2</v>
      </c>
      <c r="AD38" s="113">
        <v>0.39170923774579081</v>
      </c>
      <c r="AE38" s="73">
        <v>-0.43491168123945018</v>
      </c>
      <c r="AF38" s="73">
        <v>0.6083474054711977</v>
      </c>
      <c r="AG38" s="108">
        <v>-0.53603091034243477</v>
      </c>
    </row>
    <row r="39" spans="2:33" x14ac:dyDescent="0.25">
      <c r="B39">
        <v>0</v>
      </c>
      <c r="C39">
        <v>0</v>
      </c>
      <c r="D39">
        <v>0</v>
      </c>
      <c r="E39">
        <v>0</v>
      </c>
      <c r="F39" t="str">
        <f ca="1">_xlfn.FORMULATEXT(F35)</f>
        <v>=B35^2</v>
      </c>
      <c r="G39" t="str">
        <f ca="1">_xlfn.FORMULATEXT(G35)</f>
        <v>=F35/5</v>
      </c>
      <c r="J39">
        <v>0</v>
      </c>
      <c r="K39">
        <v>0</v>
      </c>
      <c r="L39">
        <v>0</v>
      </c>
      <c r="M39">
        <v>0</v>
      </c>
      <c r="N39" t="str">
        <f ca="1">_xlfn.FORMULATEXT(N35)</f>
        <v>=(J35^2)*5</v>
      </c>
      <c r="Q39">
        <v>0</v>
      </c>
      <c r="R39">
        <v>0</v>
      </c>
      <c r="S39">
        <v>0</v>
      </c>
      <c r="T39">
        <v>0</v>
      </c>
      <c r="U39" t="str">
        <f ca="1">_xlfn.FORMULATEXT(U35)</f>
        <v>=Q35^2</v>
      </c>
      <c r="X39" t="str">
        <f ca="1">_xlfn.FORMULATEXT(X35)</f>
        <v>=SVD_D(B12:E15)</v>
      </c>
      <c r="AD39" s="113">
        <v>0.57347798615875178</v>
      </c>
      <c r="AE39" s="73">
        <v>0.50123128333251243</v>
      </c>
      <c r="AF39" s="73">
        <v>-0.43450339077477551</v>
      </c>
      <c r="AG39" s="108">
        <v>-0.48072549693704936</v>
      </c>
    </row>
    <row r="40" spans="2:33" ht="16.5" x14ac:dyDescent="0.25">
      <c r="B40">
        <v>0</v>
      </c>
      <c r="C40">
        <v>0</v>
      </c>
      <c r="D40">
        <v>0</v>
      </c>
      <c r="E40">
        <v>0</v>
      </c>
      <c r="G40" s="185" t="s">
        <v>212</v>
      </c>
      <c r="H40" s="185"/>
      <c r="I40" s="186"/>
      <c r="J40">
        <v>0</v>
      </c>
      <c r="K40">
        <v>0</v>
      </c>
      <c r="L40">
        <v>0</v>
      </c>
      <c r="M40">
        <v>0</v>
      </c>
      <c r="N40" s="185" t="s">
        <v>211</v>
      </c>
      <c r="O40" s="186"/>
      <c r="P40" s="186"/>
      <c r="Q40">
        <v>0</v>
      </c>
      <c r="R40">
        <v>0</v>
      </c>
      <c r="S40">
        <v>0</v>
      </c>
      <c r="T40">
        <v>0</v>
      </c>
      <c r="U40" s="185" t="s">
        <v>210</v>
      </c>
      <c r="V40" s="186"/>
      <c r="AB40" s="185" t="s">
        <v>209</v>
      </c>
      <c r="AD40" s="113">
        <v>-1.9669986558131636E-12</v>
      </c>
      <c r="AE40" s="73">
        <v>-4.6024369925868885E-16</v>
      </c>
      <c r="AF40" s="73">
        <v>-5.072098858881694E-18</v>
      </c>
      <c r="AG40" s="108">
        <v>1.0167183059207636E-16</v>
      </c>
    </row>
    <row r="41" spans="2:33" ht="15.75" thickBot="1" x14ac:dyDescent="0.3">
      <c r="AD41" s="114">
        <v>6.6613381477509392E-15</v>
      </c>
      <c r="AE41" s="181">
        <v>4.4408920985006262E-16</v>
      </c>
      <c r="AF41" s="181">
        <v>4.4408920985006262E-16</v>
      </c>
      <c r="AG41" s="94">
        <v>1.3322676295501878E-15</v>
      </c>
    </row>
    <row r="42" spans="2:33" ht="18.75" thickBot="1" x14ac:dyDescent="0.4">
      <c r="B42" s="46" t="s">
        <v>226</v>
      </c>
      <c r="C42" s="45"/>
      <c r="D42" s="45"/>
      <c r="E42" s="44"/>
      <c r="J42" s="46" t="s">
        <v>220</v>
      </c>
      <c r="K42" s="45"/>
      <c r="L42" s="45"/>
      <c r="M42" s="44"/>
      <c r="Q42" s="46" t="s">
        <v>219</v>
      </c>
      <c r="R42" s="45"/>
      <c r="S42" s="45"/>
      <c r="T42" s="44"/>
      <c r="X42" s="51" t="s">
        <v>218</v>
      </c>
      <c r="Y42" s="50"/>
      <c r="Z42" s="50"/>
      <c r="AA42" s="49"/>
      <c r="AD42" t="str">
        <f ca="1">_xlfn.FORMULATEXT(AD35)</f>
        <v>=eigVECTSym(B12:E15)</v>
      </c>
    </row>
    <row r="43" spans="2:33" x14ac:dyDescent="0.25">
      <c r="B43" s="199" cm="1">
        <f t="array" ref="B43:E48">MMULT(B19:G24,MMULT(B35:E40,TRANSPOSE(B28:E31)))</f>
        <v>2.0000000000000009</v>
      </c>
      <c r="C43" s="200">
        <v>1.0000000000000044</v>
      </c>
      <c r="D43" s="200">
        <v>-1.3333333333333277</v>
      </c>
      <c r="E43" s="201">
        <v>-2.1666666666666683</v>
      </c>
      <c r="J43" s="172" cm="1">
        <f t="array" ref="J43:M48">MMULT(J19:O24,MMULT(J35:M40,TRANSPOSE(J28:M31)))</f>
        <v>0.39999999999999991</v>
      </c>
      <c r="K43" s="173">
        <v>0.1999999999999999</v>
      </c>
      <c r="L43" s="173">
        <v>-0.2666666666666665</v>
      </c>
      <c r="M43" s="174">
        <v>-0.43333333333333313</v>
      </c>
      <c r="Q43" s="208" cm="1">
        <f t="array" ref="Q43:T48">MMULT(Q19:V24,MMULT(Q35:T40,TRANSPOSE(Q28:T31)))</f>
        <v>0.89442719099991619</v>
      </c>
      <c r="R43" s="209">
        <v>0.44721359549995943</v>
      </c>
      <c r="S43" s="209">
        <v>-0.59628479399994183</v>
      </c>
      <c r="T43" s="210">
        <v>-0.96896279024990883</v>
      </c>
      <c r="X43" s="223" cm="1">
        <f t="array" ref="X43:AA46">MMULT(X19:AA22,MMULT(X35:AA38,TRANSPOSE(X28:AA31)))</f>
        <v>2.4000000000000177</v>
      </c>
      <c r="Y43" s="224">
        <v>1.9999999999999944</v>
      </c>
      <c r="Z43" s="224">
        <v>-1.6000000000000083</v>
      </c>
      <c r="AA43" s="225">
        <v>-2.5999999999999868</v>
      </c>
    </row>
    <row r="44" spans="2:33" ht="18.75" x14ac:dyDescent="0.3">
      <c r="B44" s="202">
        <v>0.99999999999999789</v>
      </c>
      <c r="C44" s="203">
        <v>1.9999999999999989</v>
      </c>
      <c r="D44" s="203">
        <v>-1.333333333333337</v>
      </c>
      <c r="E44" s="204">
        <v>-1.1666666666666681</v>
      </c>
      <c r="J44" s="162">
        <v>0.19999999999999996</v>
      </c>
      <c r="K44" s="163">
        <v>0.39999999999999991</v>
      </c>
      <c r="L44" s="163">
        <v>-0.26666666666666677</v>
      </c>
      <c r="M44" s="164">
        <v>-0.2333333333333332</v>
      </c>
      <c r="Q44" s="211">
        <v>0.44721359549995704</v>
      </c>
      <c r="R44" s="212">
        <v>0.8944271909999143</v>
      </c>
      <c r="S44" s="212">
        <v>-0.59628479399994461</v>
      </c>
      <c r="T44" s="213">
        <v>-0.52174919474995118</v>
      </c>
      <c r="X44" s="226">
        <v>1.9999999999999982</v>
      </c>
      <c r="Y44" s="227">
        <v>2.3999999999999924</v>
      </c>
      <c r="Z44" s="227">
        <v>-1.8000000000000136</v>
      </c>
      <c r="AA44" s="228">
        <v>-2.1999999999999984</v>
      </c>
      <c r="AD44" s="232" t="s">
        <v>203</v>
      </c>
    </row>
    <row r="45" spans="2:33" ht="18.75" x14ac:dyDescent="0.3">
      <c r="B45" s="202">
        <v>-2.0000000000000062</v>
      </c>
      <c r="C45" s="203">
        <v>-0.999999999999997</v>
      </c>
      <c r="D45" s="203">
        <v>0.66666666666666985</v>
      </c>
      <c r="E45" s="204">
        <v>1.8333333333333273</v>
      </c>
      <c r="J45" s="162">
        <v>-0.40000000000000024</v>
      </c>
      <c r="K45" s="163">
        <v>-0.2</v>
      </c>
      <c r="L45" s="163">
        <v>0.1333333333333333</v>
      </c>
      <c r="M45" s="164">
        <v>0.36666666666666647</v>
      </c>
      <c r="Q45" s="211">
        <v>-0.8944271909999173</v>
      </c>
      <c r="R45" s="212">
        <v>-0.44721359549995665</v>
      </c>
      <c r="S45" s="212">
        <v>0.29814239699997269</v>
      </c>
      <c r="T45" s="213">
        <v>0.81989159174992121</v>
      </c>
      <c r="X45" s="226">
        <v>-1.6000000000000005</v>
      </c>
      <c r="Y45" s="227">
        <v>-1.8000000000000118</v>
      </c>
      <c r="Z45" s="227">
        <v>1.4666666666666468</v>
      </c>
      <c r="AA45" s="228">
        <v>1.7333333333333378</v>
      </c>
      <c r="AD45" s="232" t="s">
        <v>171</v>
      </c>
    </row>
    <row r="46" spans="2:33" ht="15.75" thickBot="1" x14ac:dyDescent="0.3">
      <c r="B46" s="202">
        <v>-1.0000000000000033</v>
      </c>
      <c r="C46" s="203">
        <v>-2.0000000000000022</v>
      </c>
      <c r="D46" s="203">
        <v>1.6666666666666632</v>
      </c>
      <c r="E46" s="204">
        <v>0.83333333333333171</v>
      </c>
      <c r="J46" s="162">
        <v>-0.19999999999999998</v>
      </c>
      <c r="K46" s="163">
        <v>-0.39999999999999997</v>
      </c>
      <c r="L46" s="163">
        <v>0.3333333333333332</v>
      </c>
      <c r="M46" s="164">
        <v>0.16666666666666669</v>
      </c>
      <c r="Q46" s="211">
        <v>-0.44721359549995826</v>
      </c>
      <c r="R46" s="212">
        <v>-0.89442719099991641</v>
      </c>
      <c r="S46" s="212">
        <v>0.74535599249992845</v>
      </c>
      <c r="T46" s="213">
        <v>0.37267799624996378</v>
      </c>
      <c r="X46" s="229">
        <v>-2.5999999999999863</v>
      </c>
      <c r="Y46" s="230">
        <v>-2.2000000000000046</v>
      </c>
      <c r="Z46" s="230">
        <v>1.7333333333333285</v>
      </c>
      <c r="AA46" s="231">
        <v>2.9666666666666779</v>
      </c>
    </row>
    <row r="47" spans="2:33" x14ac:dyDescent="0.25">
      <c r="B47" s="202">
        <v>0.99999999999999822</v>
      </c>
      <c r="C47" s="203">
        <v>0.99999999999999367</v>
      </c>
      <c r="D47" s="203">
        <v>-0.33333333333334331</v>
      </c>
      <c r="E47" s="204">
        <v>-1.1666666666666667</v>
      </c>
      <c r="J47" s="162">
        <v>0.19999999999999987</v>
      </c>
      <c r="K47" s="163">
        <v>0.19999999999999968</v>
      </c>
      <c r="L47" s="163">
        <v>-6.6666666666666999E-2</v>
      </c>
      <c r="M47" s="164">
        <v>-0.23333333333333336</v>
      </c>
      <c r="Q47" s="211">
        <v>0.44721359549995754</v>
      </c>
      <c r="R47" s="212">
        <v>0.44721359549995537</v>
      </c>
      <c r="S47" s="212">
        <v>-0.14907119849998884</v>
      </c>
      <c r="T47" s="213">
        <v>-0.52174919474995052</v>
      </c>
      <c r="X47" t="str">
        <f ca="1">_xlfn.FORMULATEXT(X43)</f>
        <v>=MMULT(X19:AA22,MMULT(X35:AA38,TRANSPOSE(X28:AA31)))</v>
      </c>
    </row>
    <row r="48" spans="2:33" ht="15.75" thickBot="1" x14ac:dyDescent="0.3">
      <c r="B48" s="205">
        <v>-0.99999999999999156</v>
      </c>
      <c r="C48" s="206">
        <v>-1.000000000000002</v>
      </c>
      <c r="D48" s="206">
        <v>0.66666666666666352</v>
      </c>
      <c r="E48" s="207">
        <v>1.8333333333333399</v>
      </c>
      <c r="J48" s="165">
        <v>-0.19999999999999873</v>
      </c>
      <c r="K48" s="166">
        <v>-0.1999999999999991</v>
      </c>
      <c r="L48" s="166">
        <v>0.13333333333333236</v>
      </c>
      <c r="M48" s="167">
        <v>0.36666666666666581</v>
      </c>
      <c r="Q48" s="217">
        <v>-0.44721359549995698</v>
      </c>
      <c r="R48" s="218">
        <v>-0.44721359549996076</v>
      </c>
      <c r="S48" s="218">
        <v>0.29814239699997247</v>
      </c>
      <c r="T48" s="219">
        <v>0.81989159174992821</v>
      </c>
    </row>
    <row r="49" spans="2:17" x14ac:dyDescent="0.25">
      <c r="B49" t="str">
        <f ca="1">_xlfn.FORMULATEXT(B43)</f>
        <v>=MMULT(B19:G24,MMULT(B35:E40,TRANSPOSE(B28:E31)))</v>
      </c>
      <c r="J49" t="str">
        <f ca="1">_xlfn.FORMULATEXT(J43)</f>
        <v>=MMULT(J19:O24,MMULT(J35:M40,TRANSPOSE(J28:M31)))</v>
      </c>
      <c r="Q49" t="str">
        <f ca="1">_xlfn.FORMULATEXT(Q43)</f>
        <v>=MMULT(Q19:V24,MMULT(Q35:T40,TRANSPOSE(Q28:T31)))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67D55-FCD1-41A0-B622-A8C8DBA4922A}">
  <dimension ref="A1:O34"/>
  <sheetViews>
    <sheetView tabSelected="1" zoomScale="90" zoomScaleNormal="90" workbookViewId="0">
      <selection activeCell="Q1" sqref="Q1"/>
    </sheetView>
  </sheetViews>
  <sheetFormatPr defaultRowHeight="15" x14ac:dyDescent="0.25"/>
  <cols>
    <col min="1" max="1" width="4.5703125" customWidth="1"/>
    <col min="2" max="5" width="10.28515625" bestFit="1" customWidth="1"/>
  </cols>
  <sheetData>
    <row r="1" spans="2:15" ht="18.75" thickBot="1" x14ac:dyDescent="0.4">
      <c r="B1" s="46" t="str">
        <f>'EVD &amp; SVD'!B1</f>
        <v>Centred Xc</v>
      </c>
      <c r="C1" s="45"/>
      <c r="D1" s="45"/>
      <c r="E1" s="44"/>
      <c r="G1" s="46" t="s">
        <v>162</v>
      </c>
      <c r="H1" s="45"/>
      <c r="I1" s="45"/>
      <c r="J1" s="45"/>
      <c r="K1" s="45"/>
      <c r="L1" s="44"/>
    </row>
    <row r="2" spans="2:15" x14ac:dyDescent="0.25">
      <c r="B2" s="82">
        <f>'EVD &amp; SVD'!B2</f>
        <v>2</v>
      </c>
      <c r="C2" s="83">
        <f>'EVD &amp; SVD'!C2</f>
        <v>1</v>
      </c>
      <c r="D2" s="83">
        <f>'EVD &amp; SVD'!D2</f>
        <v>-1.3333333333333335</v>
      </c>
      <c r="E2" s="84">
        <f>'EVD &amp; SVD'!E2</f>
        <v>-2.1666666666666665</v>
      </c>
      <c r="G2" s="93" cm="1">
        <f t="array" ref="G2:L7">[1]!SVD_U(B2:E7)</f>
        <v>0.5087951402776425</v>
      </c>
      <c r="H2" s="119">
        <v>0.35064500472136118</v>
      </c>
      <c r="I2" s="119">
        <v>0.52839742399999268</v>
      </c>
      <c r="J2" s="119">
        <v>0.40261768454038038</v>
      </c>
      <c r="K2" s="119">
        <v>0.40824829046386096</v>
      </c>
      <c r="L2" s="154">
        <v>0.1010152544552152</v>
      </c>
    </row>
    <row r="3" spans="2:15" x14ac:dyDescent="0.25">
      <c r="B3" s="77">
        <f>'EVD &amp; SVD'!B3</f>
        <v>1</v>
      </c>
      <c r="C3" s="245">
        <f>'EVD &amp; SVD'!C3</f>
        <v>2</v>
      </c>
      <c r="D3" s="245">
        <f>'EVD &amp; SVD'!D3</f>
        <v>-1.3333333333333335</v>
      </c>
      <c r="E3" s="78">
        <f>'EVD &amp; SVD'!E3</f>
        <v>-1.1666666666666665</v>
      </c>
      <c r="G3" s="113">
        <v>0.417478010610563</v>
      </c>
      <c r="H3" s="246">
        <v>-0.47903156960484822</v>
      </c>
      <c r="I3" s="246">
        <v>-0.2439506058745364</v>
      </c>
      <c r="J3" s="246">
        <v>-5.2109139599796156E-2</v>
      </c>
      <c r="K3" s="246">
        <v>0.40824829046385996</v>
      </c>
      <c r="L3" s="108">
        <v>-0.6060915267313286</v>
      </c>
    </row>
    <row r="4" spans="2:15" x14ac:dyDescent="0.25">
      <c r="B4" s="77">
        <f>'EVD &amp; SVD'!B4</f>
        <v>-2</v>
      </c>
      <c r="C4" s="245">
        <f>'EVD &amp; SVD'!C4</f>
        <v>-1</v>
      </c>
      <c r="D4" s="245">
        <f>'EVD &amp; SVD'!D4</f>
        <v>0.66666666666666652</v>
      </c>
      <c r="E4" s="78">
        <f>'EVD &amp; SVD'!E4</f>
        <v>1.8333333333333335</v>
      </c>
      <c r="G4" s="113">
        <v>-0.43906537714950966</v>
      </c>
      <c r="H4" s="246">
        <v>-0.41729700537914538</v>
      </c>
      <c r="I4" s="246">
        <v>-0.12944980860138147</v>
      </c>
      <c r="J4" s="246">
        <v>0.59818404323643315</v>
      </c>
      <c r="K4" s="246">
        <v>0.40824829046386285</v>
      </c>
      <c r="L4" s="108">
        <v>0.30304576336565686</v>
      </c>
    </row>
    <row r="5" spans="2:15" x14ac:dyDescent="0.25">
      <c r="B5" s="77">
        <f>'EVD &amp; SVD'!B5</f>
        <v>-1</v>
      </c>
      <c r="C5" s="245">
        <f>'EVD &amp; SVD'!C5</f>
        <v>-2</v>
      </c>
      <c r="D5" s="245">
        <f>'EVD &amp; SVD'!D5</f>
        <v>1.6666666666666665</v>
      </c>
      <c r="E5" s="78">
        <f>'EVD &amp; SVD'!E5</f>
        <v>0.83333333333333348</v>
      </c>
      <c r="G5" s="113">
        <v>-0.40813706815168349</v>
      </c>
      <c r="H5" s="246">
        <v>0.64831301926304741</v>
      </c>
      <c r="I5" s="246">
        <v>-0.28794328563571814</v>
      </c>
      <c r="J5" s="246">
        <v>1.6463721413168361E-2</v>
      </c>
      <c r="K5" s="246">
        <v>0.40824829046386124</v>
      </c>
      <c r="L5" s="108">
        <v>-0.40406101782088666</v>
      </c>
    </row>
    <row r="6" spans="2:15" x14ac:dyDescent="0.25">
      <c r="B6" s="77">
        <f>'EVD &amp; SVD'!B6</f>
        <v>1</v>
      </c>
      <c r="C6" s="245">
        <f>'EVD &amp; SVD'!C6</f>
        <v>1</v>
      </c>
      <c r="D6" s="245">
        <f>'EVD &amp; SVD'!D6</f>
        <v>-0.33333333333333348</v>
      </c>
      <c r="E6" s="78">
        <f>'EVD &amp; SVD'!E6</f>
        <v>-1.1666666666666665</v>
      </c>
      <c r="G6" s="113">
        <v>0.2801201303712551</v>
      </c>
      <c r="H6" s="246">
        <v>0.10338477847319628</v>
      </c>
      <c r="I6" s="246">
        <v>-0.4592541293309888</v>
      </c>
      <c r="J6" s="246">
        <v>-0.40732829436596008</v>
      </c>
      <c r="K6" s="246">
        <v>0.4082482904638699</v>
      </c>
      <c r="L6" s="108">
        <v>0.60609152673132682</v>
      </c>
    </row>
    <row r="7" spans="2:15" ht="15.75" thickBot="1" x14ac:dyDescent="0.3">
      <c r="B7" s="79">
        <f>'EVD &amp; SVD'!B7</f>
        <v>-1</v>
      </c>
      <c r="C7" s="69">
        <f>'EVD &amp; SVD'!C7</f>
        <v>-1</v>
      </c>
      <c r="D7" s="69">
        <f>'EVD &amp; SVD'!D7</f>
        <v>0.66666666666666652</v>
      </c>
      <c r="E7" s="80">
        <f>'EVD &amp; SVD'!E7</f>
        <v>1.8333333333333335</v>
      </c>
      <c r="G7" s="114">
        <v>-0.35919083595826706</v>
      </c>
      <c r="H7" s="181">
        <v>-0.20601422747361234</v>
      </c>
      <c r="I7" s="181">
        <v>0.59220040544263952</v>
      </c>
      <c r="J7" s="181">
        <v>-0.557828015224202</v>
      </c>
      <c r="K7" s="181">
        <v>0.40824829046386374</v>
      </c>
      <c r="L7" s="94">
        <v>0</v>
      </c>
    </row>
    <row r="8" spans="2:15" x14ac:dyDescent="0.25">
      <c r="B8" s="245"/>
      <c r="C8" s="245"/>
      <c r="D8" s="245"/>
      <c r="E8" s="245"/>
      <c r="G8" t="str">
        <f ca="1">_xlfn.FORMULATEXT(G2)</f>
        <v>=SVD_U(B2:E7)</v>
      </c>
    </row>
    <row r="9" spans="2:15" ht="15.75" thickBot="1" x14ac:dyDescent="0.3"/>
    <row r="10" spans="2:15" ht="18.75" thickBot="1" x14ac:dyDescent="0.4">
      <c r="B10" s="46" t="s">
        <v>233</v>
      </c>
      <c r="C10" s="45"/>
      <c r="D10" s="45"/>
      <c r="E10" s="44"/>
      <c r="G10" s="92" t="s">
        <v>235</v>
      </c>
      <c r="H10" s="45"/>
      <c r="I10" s="45"/>
      <c r="J10" s="44"/>
      <c r="L10" s="46" t="s">
        <v>205</v>
      </c>
      <c r="M10" s="45"/>
      <c r="N10" s="45"/>
      <c r="O10" s="44"/>
    </row>
    <row r="11" spans="2:15" x14ac:dyDescent="0.25">
      <c r="B11" s="82" cm="1">
        <f t="array" ref="B11:E14">1/5*MMULT(TRANSPOSE(B2:E7),B2:E7)</f>
        <v>2.4000000000000004</v>
      </c>
      <c r="C11" s="83">
        <v>2</v>
      </c>
      <c r="D11" s="83">
        <v>-1.6</v>
      </c>
      <c r="E11" s="84">
        <v>-2.6000000000000005</v>
      </c>
      <c r="G11" s="93" cm="1">
        <f t="array" ref="G11:J16">[1]!SVD_D(B2:E7)</f>
        <v>6.4864528468135498</v>
      </c>
      <c r="H11" s="50">
        <v>0</v>
      </c>
      <c r="I11" s="50">
        <v>0</v>
      </c>
      <c r="J11" s="49">
        <v>0</v>
      </c>
      <c r="L11" s="261" cm="1">
        <f t="array" ref="L11:O14">[1]!SVD_V(B2:E7)</f>
        <v>0.51810244509785974</v>
      </c>
      <c r="M11" s="262">
        <v>0.38947147186111097</v>
      </c>
      <c r="N11" s="262">
        <v>0.47163134874515822</v>
      </c>
      <c r="O11" s="263">
        <v>-0.597867627381508</v>
      </c>
    </row>
    <row r="12" spans="2:15" x14ac:dyDescent="0.25">
      <c r="B12" s="77">
        <v>2</v>
      </c>
      <c r="C12" s="245">
        <v>2.4000000000000004</v>
      </c>
      <c r="D12" s="245">
        <v>-1.7999999999999998</v>
      </c>
      <c r="E12" s="78">
        <v>-2.2000000000000002</v>
      </c>
      <c r="G12" s="48">
        <v>0</v>
      </c>
      <c r="H12" s="246">
        <v>1.8433659180458521</v>
      </c>
      <c r="I12" s="250">
        <v>0</v>
      </c>
      <c r="J12" s="47">
        <v>0</v>
      </c>
      <c r="L12" s="264">
        <v>0.49925617556474217</v>
      </c>
      <c r="M12" s="265">
        <v>-0.63869476492034749</v>
      </c>
      <c r="N12" s="265">
        <v>-0.4676367271103839</v>
      </c>
      <c r="O12" s="266">
        <v>-0.35231826504069796</v>
      </c>
    </row>
    <row r="13" spans="2:15" x14ac:dyDescent="0.25">
      <c r="B13" s="77">
        <v>-1.6</v>
      </c>
      <c r="C13" s="245">
        <v>-1.7999999999999998</v>
      </c>
      <c r="D13" s="245">
        <v>1.466666666666667</v>
      </c>
      <c r="E13" s="78">
        <v>1.7333333333333336</v>
      </c>
      <c r="G13" s="48">
        <v>0</v>
      </c>
      <c r="H13" s="250">
        <v>0</v>
      </c>
      <c r="I13" s="246">
        <v>0.65354563688439671</v>
      </c>
      <c r="J13" s="47">
        <v>0</v>
      </c>
      <c r="L13" s="264">
        <v>-0.39170923774579064</v>
      </c>
      <c r="M13" s="265">
        <v>0.43491168123945045</v>
      </c>
      <c r="N13" s="265">
        <v>-0.60834740547118649</v>
      </c>
      <c r="O13" s="266">
        <v>-0.53603091034243666</v>
      </c>
    </row>
    <row r="14" spans="2:15" ht="15.75" thickBot="1" x14ac:dyDescent="0.3">
      <c r="B14" s="79">
        <v>-2.6000000000000005</v>
      </c>
      <c r="C14" s="69">
        <v>-2.2000000000000002</v>
      </c>
      <c r="D14" s="69">
        <v>1.7333333333333336</v>
      </c>
      <c r="E14" s="80">
        <v>2.9666666666666668</v>
      </c>
      <c r="G14" s="53">
        <v>0</v>
      </c>
      <c r="H14" s="56">
        <v>0</v>
      </c>
      <c r="I14" s="56">
        <v>0</v>
      </c>
      <c r="J14" s="94">
        <v>0.51718113405982979</v>
      </c>
      <c r="L14" s="267">
        <v>-0.57347798615875223</v>
      </c>
      <c r="M14" s="268">
        <v>-0.50123128333251288</v>
      </c>
      <c r="N14" s="268">
        <v>0.43450339077478428</v>
      </c>
      <c r="O14" s="269">
        <v>-0.48072549693704802</v>
      </c>
    </row>
    <row r="15" spans="2:15" x14ac:dyDescent="0.25">
      <c r="B15" t="str">
        <f ca="1">_xlfn.FORMULATEXT(B11)</f>
        <v>=1/5*MMULT(TRANSPOSE(B2:E7),B2:E7)</v>
      </c>
      <c r="G15">
        <v>0</v>
      </c>
      <c r="H15">
        <v>0</v>
      </c>
      <c r="I15">
        <v>0</v>
      </c>
      <c r="J15">
        <v>0</v>
      </c>
      <c r="L15" t="str">
        <f ca="1">_xlfn.FORMULATEXT(L11)</f>
        <v>=SVD_V(B2:E7)</v>
      </c>
    </row>
    <row r="16" spans="2:15" ht="15.75" thickBot="1" x14ac:dyDescent="0.3">
      <c r="G16">
        <v>0</v>
      </c>
      <c r="H16">
        <v>0</v>
      </c>
      <c r="I16">
        <v>0</v>
      </c>
      <c r="J16">
        <v>0</v>
      </c>
    </row>
    <row r="17" spans="1:12" ht="15.75" thickBot="1" x14ac:dyDescent="0.3">
      <c r="B17" s="46" t="s">
        <v>234</v>
      </c>
      <c r="C17" s="45"/>
      <c r="D17" s="45"/>
      <c r="E17" s="44"/>
      <c r="G17" t="str">
        <f ca="1">_xlfn.FORMULATEXT(G11)</f>
        <v>=SVD_D(B2:E7)</v>
      </c>
    </row>
    <row r="18" spans="1:12" ht="15.75" thickBot="1" x14ac:dyDescent="0.3">
      <c r="A18" s="96" t="s">
        <v>108</v>
      </c>
      <c r="B18" s="247" cm="1">
        <f t="array" ref="B18:E24">[1]!eigVECTSym(B11:E14)</f>
        <v>8.4148141067871158</v>
      </c>
      <c r="C18" s="248">
        <v>0.67959958156260658</v>
      </c>
      <c r="D18" s="248">
        <v>8.5424379898126374E-2</v>
      </c>
      <c r="E18" s="249">
        <v>5.3495265085481504E-2</v>
      </c>
    </row>
    <row r="19" spans="1:12" x14ac:dyDescent="0.25">
      <c r="A19" s="42" t="s">
        <v>173</v>
      </c>
      <c r="B19" s="261">
        <v>-0.51810244509786019</v>
      </c>
      <c r="C19" s="262">
        <v>-0.38947147186111097</v>
      </c>
      <c r="D19" s="262">
        <v>-0.47163134874514734</v>
      </c>
      <c r="E19" s="263">
        <v>-0.59786762738151422</v>
      </c>
    </row>
    <row r="20" spans="1:12" x14ac:dyDescent="0.25">
      <c r="B20" s="264">
        <v>-0.49925617556474239</v>
      </c>
      <c r="C20" s="265">
        <v>0.63869476492034749</v>
      </c>
      <c r="D20" s="265">
        <v>0.46763672711039106</v>
      </c>
      <c r="E20" s="266">
        <v>-0.35231826504069658</v>
      </c>
    </row>
    <row r="21" spans="1:12" x14ac:dyDescent="0.25">
      <c r="B21" s="264">
        <v>0.39170923774579081</v>
      </c>
      <c r="C21" s="265">
        <v>-0.43491168123945018</v>
      </c>
      <c r="D21" s="265">
        <v>0.6083474054711977</v>
      </c>
      <c r="E21" s="266">
        <v>-0.53603091034243477</v>
      </c>
    </row>
    <row r="22" spans="1:12" ht="15.75" thickBot="1" x14ac:dyDescent="0.3">
      <c r="B22" s="267">
        <v>0.57347798615875178</v>
      </c>
      <c r="C22" s="268">
        <v>0.50123128333251243</v>
      </c>
      <c r="D22" s="268">
        <v>-0.43450339077477551</v>
      </c>
      <c r="E22" s="269">
        <v>-0.48072549693704936</v>
      </c>
    </row>
    <row r="23" spans="1:12" x14ac:dyDescent="0.25">
      <c r="B23" s="73">
        <v>-1.9669986558131636E-12</v>
      </c>
      <c r="C23" s="73">
        <v>-4.6024369925868885E-16</v>
      </c>
      <c r="D23" s="73">
        <v>-5.072098858881694E-18</v>
      </c>
      <c r="E23" s="73">
        <v>1.0167183059207636E-16</v>
      </c>
    </row>
    <row r="24" spans="1:12" x14ac:dyDescent="0.25">
      <c r="B24" s="73">
        <v>6.6613381477509392E-15</v>
      </c>
      <c r="C24" s="73">
        <v>4.4408920985006262E-16</v>
      </c>
      <c r="D24" s="73">
        <v>4.4408920985006262E-16</v>
      </c>
      <c r="E24" s="73">
        <v>1.3322676295501878E-15</v>
      </c>
    </row>
    <row r="25" spans="1:12" x14ac:dyDescent="0.25">
      <c r="B25" t="str">
        <f ca="1">_xlfn.FORMULATEXT(B18)</f>
        <v>=eigVECTSym(B11:E14)</v>
      </c>
    </row>
    <row r="26" spans="1:12" ht="15.75" thickBot="1" x14ac:dyDescent="0.3"/>
    <row r="27" spans="1:12" ht="24.75" thickBot="1" x14ac:dyDescent="0.45">
      <c r="B27" s="46" t="s">
        <v>236</v>
      </c>
      <c r="C27" s="45"/>
      <c r="D27" s="45"/>
      <c r="E27" s="44"/>
      <c r="F27" s="260" t="s">
        <v>145</v>
      </c>
      <c r="G27" s="46" t="s">
        <v>237</v>
      </c>
      <c r="H27" s="45"/>
      <c r="I27" s="45"/>
      <c r="J27" s="44"/>
      <c r="L27" s="2" t="s">
        <v>240</v>
      </c>
    </row>
    <row r="28" spans="1:12" x14ac:dyDescent="0.25">
      <c r="B28" s="251" cm="1">
        <f t="array" ref="B28:E33">MMULT(B2:E7,B19:E22)</f>
        <v>-3.3002756860988129</v>
      </c>
      <c r="C28" s="252">
        <v>-0.64636705103638437</v>
      </c>
      <c r="D28" s="252">
        <v>-0.34533183099615372</v>
      </c>
      <c r="E28" s="253">
        <v>0.20822627068312827</v>
      </c>
      <c r="G28" s="251" cm="1">
        <f t="array" ref="G28:J33">MMULT(G2:L7,G11:J16)</f>
        <v>3.3002756860988138</v>
      </c>
      <c r="H28" s="252">
        <v>0.64636705103638414</v>
      </c>
      <c r="I28" s="252">
        <v>0.34533183099614984</v>
      </c>
      <c r="J28" s="253">
        <v>0.20822627068313673</v>
      </c>
      <c r="L28" s="2" t="s">
        <v>238</v>
      </c>
    </row>
    <row r="29" spans="1:12" x14ac:dyDescent="0.25">
      <c r="B29" s="254">
        <v>-2.7079514304069434</v>
      </c>
      <c r="C29" s="255">
        <v>0.88303046907758664</v>
      </c>
      <c r="D29" s="255">
        <v>0.15943285408460917</v>
      </c>
      <c r="E29" s="256">
        <v>-2.6949863913103611E-2</v>
      </c>
      <c r="G29" s="254">
        <v>2.7079514304069439</v>
      </c>
      <c r="H29" s="255">
        <v>-0.88303046907758653</v>
      </c>
      <c r="I29" s="255">
        <v>-0.15943285408460833</v>
      </c>
      <c r="J29" s="256">
        <v>-2.6949863913104562E-2</v>
      </c>
      <c r="L29" s="2"/>
    </row>
    <row r="30" spans="1:12" x14ac:dyDescent="0.25">
      <c r="B30" s="254">
        <v>2.8479768655487017</v>
      </c>
      <c r="C30" s="255">
        <v>0.76923107741851393</v>
      </c>
      <c r="D30" s="255">
        <v>8.460135760694687E-2</v>
      </c>
      <c r="E30" s="256">
        <v>0.30936950185751144</v>
      </c>
      <c r="G30" s="254">
        <v>-2.8479768655487017</v>
      </c>
      <c r="H30" s="255">
        <v>-0.76923107741851326</v>
      </c>
      <c r="I30" s="255">
        <v>-8.4601357606953115E-2</v>
      </c>
      <c r="J30" s="256">
        <v>0.30936950185751277</v>
      </c>
      <c r="L30" s="2" t="s">
        <v>239</v>
      </c>
    </row>
    <row r="31" spans="1:12" x14ac:dyDescent="0.25">
      <c r="B31" s="254">
        <v>2.6473618476026233</v>
      </c>
      <c r="C31" s="255">
        <v>-1.1950781239349073</v>
      </c>
      <c r="D31" s="255">
        <v>0.18818407799738157</v>
      </c>
      <c r="E31" s="256">
        <v>8.5147261113083794E-3</v>
      </c>
      <c r="G31" s="254">
        <v>-2.6473618476026233</v>
      </c>
      <c r="H31" s="255">
        <v>1.1950781239349055</v>
      </c>
      <c r="I31" s="255">
        <v>-0.18818407799738116</v>
      </c>
      <c r="J31" s="256">
        <v>8.5147261113075173E-3</v>
      </c>
      <c r="L31" s="2" t="s">
        <v>242</v>
      </c>
    </row>
    <row r="32" spans="1:12" x14ac:dyDescent="0.25">
      <c r="B32" s="254">
        <v>-1.8169860170964101</v>
      </c>
      <c r="C32" s="255">
        <v>-0.19057597708221108</v>
      </c>
      <c r="D32" s="255">
        <v>0.30014353244541575</v>
      </c>
      <c r="E32" s="256">
        <v>-0.21066250921484164</v>
      </c>
      <c r="G32" s="254">
        <v>1.8169860170964105</v>
      </c>
      <c r="H32" s="255">
        <v>0.19057597708221052</v>
      </c>
      <c r="I32" s="255">
        <v>-0.3001435324454102</v>
      </c>
      <c r="J32" s="256">
        <v>-0.21066250921484342</v>
      </c>
      <c r="L32" s="2" t="s">
        <v>241</v>
      </c>
    </row>
    <row r="33" spans="2:10" ht="15.75" thickBot="1" x14ac:dyDescent="0.3">
      <c r="B33" s="257">
        <v>2.3298744204508415</v>
      </c>
      <c r="C33" s="258">
        <v>0.37975960555740296</v>
      </c>
      <c r="D33" s="258">
        <v>-0.38702999113820052</v>
      </c>
      <c r="E33" s="259">
        <v>-0.28849812552400278</v>
      </c>
      <c r="G33" s="257">
        <v>-2.3298744204508401</v>
      </c>
      <c r="H33" s="258">
        <v>-0.3797596055574024</v>
      </c>
      <c r="I33" s="258">
        <v>0.3870299911382078</v>
      </c>
      <c r="J33" s="259">
        <v>-0.28849812552399678</v>
      </c>
    </row>
    <row r="34" spans="2:10" x14ac:dyDescent="0.25">
      <c r="B34" t="str">
        <f ca="1">_xlfn.FORMULATEXT(B28)</f>
        <v>=MMULT(B2:E7,B19:E22)</v>
      </c>
      <c r="G34" t="str">
        <f ca="1">_xlfn.FORMULATEXT(G28)</f>
        <v>=MMULT(G2:L7,G11:J16)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Matrix ops</vt:lpstr>
      <vt:lpstr>Norms</vt:lpstr>
      <vt:lpstr>Centr-Norml-Stdz</vt:lpstr>
      <vt:lpstr>Covar</vt:lpstr>
      <vt:lpstr>Covar 1</vt:lpstr>
      <vt:lpstr>Covar cent+scaled</vt:lpstr>
      <vt:lpstr>Cholesky</vt:lpstr>
      <vt:lpstr>Eigen exmpl</vt:lpstr>
      <vt:lpstr>EVD</vt:lpstr>
      <vt:lpstr>SD</vt:lpstr>
      <vt:lpstr>SVD raw</vt:lpstr>
      <vt:lpstr>SVD cov</vt:lpstr>
      <vt:lpstr>EVD &amp; SVD</vt:lpstr>
      <vt:lpstr>PCA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Branko Pecar</dc:creator>
  <cp:lastModifiedBy>Branko Pecar</cp:lastModifiedBy>
  <dcterms:created xsi:type="dcterms:W3CDTF">2025-09-12T10:33:23Z</dcterms:created>
  <dcterms:modified xsi:type="dcterms:W3CDTF">2025-11-03T17:26:57Z</dcterms:modified>
</cp:coreProperties>
</file>